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6255" windowHeight="4920" tabRatio="601" activeTab="0"/>
  </bookViews>
  <sheets>
    <sheet name="River-Res data" sheetId="1" r:id="rId1"/>
    <sheet name="2000 Flow" sheetId="2" r:id="rId2"/>
    <sheet name="Walker-carlson" sheetId="3" r:id="rId3"/>
    <sheet name="Res trends" sheetId="4" r:id="rId4"/>
    <sheet name="Loading" sheetId="5" r:id="rId5"/>
    <sheet name="Models" sheetId="6" r:id="rId6"/>
  </sheets>
  <definedNames>
    <definedName name="_xlnm.Print_Area" localSheetId="1">'2000 Flow'!$E$12:$J$32</definedName>
    <definedName name="_xlnm.Print_Area" localSheetId="5">'Models'!$A$5:$C$20</definedName>
    <definedName name="_xlnm.Print_Area">'Walker-carlson'!$M$1:$S$25</definedName>
    <definedName name="PRINT_AREA_MI">'Walker-carlson'!$M$1:$S$25</definedName>
  </definedNames>
  <calcPr fullCalcOnLoad="1"/>
</workbook>
</file>

<file path=xl/sharedStrings.xml><?xml version="1.0" encoding="utf-8"?>
<sst xmlns="http://schemas.openxmlformats.org/spreadsheetml/2006/main" count="588" uniqueCount="196">
  <si>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</si>
  <si>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</si>
  <si>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</si>
  <si>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</si>
  <si>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</si>
  <si>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</si>
  <si>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</si>
  <si>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</si>
  <si>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</si>
  <si>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</si>
  <si>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</si>
  <si>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</si>
  <si>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</si>
  <si>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</si>
  <si>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</si>
  <si>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</si>
  <si>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</si>
  <si>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</si>
  <si>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</si>
  <si>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pH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</si>
  <si>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</si>
  <si>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</si>
  <si>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</si>
  <si>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</si>
  <si>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</si>
  <si>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</si>
  <si>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</si>
  <si>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</si>
  <si>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</si>
  <si>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</si>
  <si>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</si>
  <si>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</si>
  <si>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</si>
  <si>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</si>
  <si>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</si>
  <si>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 xml:space="preserve"> </t>
  </si>
  <si>
    <t>Sum</t>
  </si>
  <si>
    <t>TP</t>
  </si>
  <si>
    <t>(mg/L)</t>
  </si>
  <si>
    <t>(Deg C)</t>
  </si>
  <si>
    <t>(#/100 ML)</t>
  </si>
  <si>
    <t>(mg/L as N)</t>
  </si>
  <si>
    <t>(mg/L as P)</t>
  </si>
  <si>
    <t>(Meters)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</si>
  <si>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</si>
  <si>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</si>
  <si>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</si>
  <si>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</si>
  <si>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</si>
  <si>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</si>
  <si>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</si>
  <si>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</si>
  <si>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</si>
  <si>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</si>
  <si>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</si>
  <si>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</si>
  <si>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</si>
  <si>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</si>
  <si>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</si>
  <si>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</si>
  <si>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</si>
  <si>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</si>
  <si>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</si>
  <si>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</si>
  <si>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</si>
  <si>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</si>
  <si>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</si>
  <si>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</si>
  <si>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</si>
  <si>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</si>
  <si>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</si>
  <si>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</si>
  <si>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</si>
  <si>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</si>
  <si>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</si>
  <si>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</si>
  <si>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</si>
  <si>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</si>
  <si>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</si>
  <si>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</si>
  <si>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</si>
  <si>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</si>
  <si>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</si>
  <si>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</si>
  <si>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</si>
  <si>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</si>
  <si>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</si>
  <si>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</si>
  <si>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</si>
  <si>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</si>
  <si>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</si>
  <si>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</si>
  <si>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</si>
  <si>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</si>
  <si>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</si>
  <si>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</si>
  <si>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</si>
  <si>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</si>
  <si>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</si>
  <si>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</si>
  <si>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</si>
  <si>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</si>
  <si>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</si>
  <si>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% of Flow</t>
  </si>
  <si>
    <t>pH, FIELD</t>
  </si>
  <si>
    <t>DATE</t>
  </si>
  <si>
    <t>UNITS)</t>
  </si>
  <si>
    <t>(US/CM)</t>
  </si>
  <si>
    <r>
      <t>(mg/M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</si>
  <si>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>(gm/M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</si>
  <si>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 xml:space="preserve">(CFS) </t>
    </r>
    <r>
      <rPr>
        <vertAlign val="superscript"/>
        <sz val="8"/>
        <rFont val="Tms Rmn"/>
        <family val="1"/>
      </rPr>
      <t xml:space="preserve">1) </t>
    </r>
  </si>
  <si>
    <t>(STD. UNITS)</t>
  </si>
  <si>
    <t>South Platte</t>
  </si>
  <si>
    <r>
      <t xml:space="preserve">(CFS) </t>
    </r>
    <r>
      <rPr>
        <vertAlign val="superscript"/>
        <sz val="8"/>
        <rFont val="Tms Rmn"/>
        <family val="1"/>
      </rPr>
      <t>1)</t>
    </r>
  </si>
  <si>
    <t>TIME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</si>
  <si>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</si>
  <si>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</si>
  <si>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</si>
  <si>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</si>
  <si>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</si>
  <si>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</si>
  <si>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</si>
  <si>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</si>
  <si>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</si>
  <si>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</si>
  <si>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</si>
  <si>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</si>
  <si>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</si>
  <si>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</si>
  <si>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</si>
  <si>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r>
      <t xml:space="preserve">MDL </t>
    </r>
    <r>
      <rPr>
        <vertAlign val="superscript"/>
        <sz val="8"/>
        <rFont val="Tms Rmn"/>
        <family val="1"/>
      </rPr>
      <t>2)</t>
    </r>
  </si>
  <si>
    <r>
      <t>PQL</t>
    </r>
    <r>
      <rPr>
        <vertAlign val="superscript"/>
        <sz val="8"/>
        <rFont val="Tms Rmn"/>
        <family val="1"/>
      </rPr>
      <t xml:space="preserve"> 3)</t>
    </r>
  </si>
  <si>
    <t>SC</t>
  </si>
  <si>
    <t>DO</t>
  </si>
  <si>
    <t>Temp</t>
  </si>
  <si>
    <t>FC</t>
  </si>
  <si>
    <t>TSS</t>
  </si>
  <si>
    <t>OP</t>
  </si>
  <si>
    <t>flow</t>
  </si>
  <si>
    <t>ph</t>
  </si>
  <si>
    <t>NO3</t>
  </si>
  <si>
    <t>NH4</t>
  </si>
  <si>
    <t>TEMP</t>
  </si>
  <si>
    <t>South Platte River</t>
  </si>
  <si>
    <t>Average</t>
  </si>
  <si>
    <t>PH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</si>
  <si>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</si>
  <si>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</si>
  <si>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</si>
  <si>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</si>
  <si>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</si>
  <si>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</si>
  <si>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</si>
  <si>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</si>
  <si>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</si>
  <si>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</si>
  <si>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</si>
  <si>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</si>
  <si>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t>SECCHI</t>
  </si>
  <si>
    <t>CHLORO</t>
  </si>
  <si>
    <t>TN</t>
  </si>
  <si>
    <t>Trophic Indicators</t>
  </si>
  <si>
    <t>Peak Chl</t>
  </si>
  <si>
    <t>Annual Chl</t>
  </si>
  <si>
    <t>Seasonal Chl</t>
  </si>
  <si>
    <t>Annual Secchi</t>
  </si>
  <si>
    <t>Seasonal Secchi</t>
  </si>
  <si>
    <t xml:space="preserve">Annual TP </t>
  </si>
  <si>
    <t>Seasonal TP</t>
  </si>
  <si>
    <r>
      <t>(ug/L)</t>
    </r>
    <r>
      <rPr>
        <vertAlign val="superscript"/>
        <sz val="12"/>
        <rFont val="Tms Rmn"/>
        <family val="1"/>
      </rPr>
      <t>1)2)</t>
    </r>
  </si>
  <si>
    <t>Avg</t>
  </si>
  <si>
    <t>Peak TP</t>
  </si>
  <si>
    <t>Inflow ac-ft/yr</t>
  </si>
  <si>
    <t>TP #/yr</t>
  </si>
  <si>
    <t>NO3 #/yr</t>
  </si>
  <si>
    <t>TSS #/yr</t>
  </si>
  <si>
    <t>49 ME</t>
  </si>
  <si>
    <t>44-46 ME</t>
  </si>
  <si>
    <t>45-52 ME/E</t>
  </si>
  <si>
    <t>55 E</t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</si>
  <si>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</si>
  <si>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</si>
  <si>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</si>
  <si>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</si>
  <si>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</si>
  <si>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</si>
  <si>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</si>
  <si>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</si>
  <si>
    <t>GS</t>
  </si>
  <si>
    <t>2000 Flow Estimates Chatfield Watershed</t>
  </si>
  <si>
    <t>2000 Loadings</t>
  </si>
  <si>
    <t>2000 Total Phosphorus loading</t>
  </si>
  <si>
    <t>2000 Chatfield Reservoir</t>
  </si>
  <si>
    <t>Total Nitrate Loading</t>
  </si>
  <si>
    <t>Total</t>
  </si>
  <si>
    <t>Pounds/Month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</si>
</sst>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</numFmts>
  <fonts count="51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5.25"/>
      <name val="Arial"/>
      <family val="0"/>
    </font>
    <font>
      <sz val="8.25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8.75"/>
      <name val="Arial"/>
      <family val="2"/>
    </font>
    <font>
      <sz val="10.7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b/>
      <sz val="9.5"/>
      <name val="Arial"/>
      <family val="2"/>
    </font>
    <font>
      <sz val="9.5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8.25"/>
      <name val="Arial"/>
      <family val="2"/>
    </font>
    <font>
      <b/>
      <sz val="5.5"/>
      <name val="Arial"/>
      <family val="2"/>
    </font>
    <font>
      <u val="single"/>
      <sz val="10"/>
      <color indexed="12"/>
      <name val="Helvetica"/>
      <family val="2"/>
    </font>
    <font>
      <sz val="8"/>
      <name val="Helvetica"/>
      <family val="2"/>
    </font>
    <font>
      <sz val="11.75"/>
      <name val="Arial"/>
      <family val="0"/>
    </font>
    <font>
      <sz val="10"/>
      <name val="Helv"/>
      <family val="0"/>
    </font>
    <font>
      <sz val="8"/>
      <name val="Helv"/>
      <family val="0"/>
    </font>
    <font>
      <sz val="5.5"/>
      <name val="Arial"/>
      <family val="2"/>
    </font>
    <font>
      <sz val="11.5"/>
      <name val="Arial"/>
      <family val="0"/>
    </font>
    <font>
      <sz val="15"/>
      <name val="Helvetica-Black"/>
      <family val="2"/>
    </font>
    <font>
      <sz val="15"/>
      <name val="Arial"/>
      <family val="0"/>
    </font>
    <font>
      <b/>
      <sz val="10.5"/>
      <name val="Arial"/>
      <family val="2"/>
    </font>
    <font>
      <sz val="8"/>
      <name val="Tms Rmn"/>
      <family val="1"/>
    </font>
    <font>
      <vertAlign val="superscript"/>
      <sz val="8"/>
      <name val="Tms Rmn"/>
      <family val="1"/>
    </font>
    <font>
      <b/>
      <sz val="11.75"/>
      <name val="Arial"/>
      <family val="0"/>
    </font>
    <font>
      <sz val="16.5"/>
      <name val="Arial"/>
      <family val="0"/>
    </font>
    <font>
      <b/>
      <sz val="8"/>
      <name val="Tms Rmn"/>
      <family val="0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u val="single"/>
      <sz val="12"/>
      <name val="Tms Rmn"/>
      <family val="0"/>
    </font>
    <font>
      <vertAlign val="superscript"/>
      <sz val="8"/>
      <name val="Arial"/>
      <family val="2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Helvetica-Black"/>
      <family val="2"/>
    </font>
    <font>
      <b/>
      <sz val="11"/>
      <name val="Arial"/>
      <family val="2"/>
    </font>
    <font>
      <u val="single"/>
      <sz val="10"/>
      <color indexed="36"/>
      <name val="Helvetica"/>
      <family val="2"/>
    </font>
    <font>
      <b/>
      <sz val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173" fontId="26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69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169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169" fontId="33" fillId="0" borderId="2" xfId="0" applyNumberFormat="1" applyFont="1" applyFill="1" applyBorder="1" applyAlignment="1">
      <alignment horizontal="center"/>
    </xf>
    <xf numFmtId="0" fontId="33" fillId="0" borderId="2" xfId="0" applyNumberFormat="1" applyFont="1" applyFill="1" applyBorder="1" applyAlignment="1">
      <alignment horizontal="center"/>
    </xf>
    <xf numFmtId="171" fontId="33" fillId="0" borderId="2" xfId="0" applyNumberFormat="1" applyFont="1" applyFill="1" applyBorder="1" applyAlignment="1" applyProtection="1">
      <alignment horizontal="center"/>
      <protection/>
    </xf>
    <xf numFmtId="0" fontId="33" fillId="0" borderId="2" xfId="0" applyFont="1" applyFill="1" applyBorder="1" applyAlignment="1">
      <alignment horizontal="centerContinuous"/>
    </xf>
    <xf numFmtId="171" fontId="33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15" fontId="33" fillId="0" borderId="0" xfId="0" applyNumberFormat="1" applyFont="1" applyFill="1" applyAlignment="1">
      <alignment horizontal="center"/>
    </xf>
    <xf numFmtId="20" fontId="33" fillId="0" borderId="0" xfId="0" applyNumberFormat="1" applyFont="1" applyFill="1" applyAlignment="1">
      <alignment horizontal="center"/>
    </xf>
    <xf numFmtId="169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68" fontId="33" fillId="0" borderId="0" xfId="0" applyNumberFormat="1" applyFont="1" applyFill="1" applyAlignment="1">
      <alignment horizontal="center"/>
    </xf>
    <xf numFmtId="0" fontId="33" fillId="0" borderId="3" xfId="0" applyFont="1" applyFill="1" applyBorder="1" applyAlignment="1">
      <alignment horizontal="center"/>
    </xf>
    <xf numFmtId="169" fontId="37" fillId="0" borderId="0" xfId="0" applyNumberFormat="1" applyFont="1" applyFill="1" applyBorder="1" applyAlignment="1">
      <alignment horizontal="center"/>
    </xf>
    <xf numFmtId="15" fontId="24" fillId="0" borderId="0" xfId="0" applyNumberFormat="1" applyFont="1" applyFill="1" applyAlignment="1">
      <alignment horizontal="left"/>
    </xf>
    <xf numFmtId="20" fontId="24" fillId="0" borderId="0" xfId="0" applyNumberFormat="1" applyFont="1" applyFill="1" applyAlignment="1">
      <alignment horizontal="center"/>
    </xf>
    <xf numFmtId="16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22" fontId="33" fillId="0" borderId="0" xfId="0" applyNumberFormat="1" applyFont="1" applyFill="1" applyAlignment="1">
      <alignment horizontal="center"/>
    </xf>
    <xf numFmtId="169" fontId="3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center"/>
    </xf>
    <xf numFmtId="164" fontId="33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33" fillId="0" borderId="0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164" fontId="33" fillId="0" borderId="0" xfId="0" applyNumberFormat="1" applyFont="1" applyFill="1" applyBorder="1" applyAlignment="1" applyProtection="1">
      <alignment horizontal="center"/>
      <protection/>
    </xf>
    <xf numFmtId="0" fontId="33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Continuous"/>
    </xf>
    <xf numFmtId="2" fontId="33" fillId="0" borderId="5" xfId="0" applyNumberFormat="1" applyFont="1" applyFill="1" applyBorder="1" applyAlignment="1" applyProtection="1">
      <alignment horizontal="center"/>
      <protection/>
    </xf>
    <xf numFmtId="15" fontId="38" fillId="0" borderId="0" xfId="0" applyNumberFormat="1" applyFont="1" applyFill="1" applyAlignment="1">
      <alignment horizontal="center"/>
    </xf>
    <xf numFmtId="2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2" fontId="38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2" fontId="39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71" fontId="40" fillId="0" borderId="0" xfId="0" applyNumberFormat="1" applyFont="1" applyAlignment="1" applyProtection="1">
      <alignment horizontal="center"/>
      <protection/>
    </xf>
    <xf numFmtId="0" fontId="41" fillId="0" borderId="0" xfId="0" applyFont="1" applyAlignment="1">
      <alignment horizontal="center"/>
    </xf>
    <xf numFmtId="174" fontId="40" fillId="0" borderId="0" xfId="0" applyNumberFormat="1" applyFont="1" applyAlignment="1" applyProtection="1">
      <alignment horizontal="center"/>
      <protection/>
    </xf>
    <xf numFmtId="169" fontId="40" fillId="0" borderId="0" xfId="0" applyNumberFormat="1" applyFont="1" applyAlignment="1">
      <alignment horizontal="center"/>
    </xf>
    <xf numFmtId="174" fontId="40" fillId="0" borderId="0" xfId="0" applyNumberFormat="1" applyFont="1" applyAlignment="1">
      <alignment horizontal="center"/>
    </xf>
    <xf numFmtId="174" fontId="40" fillId="0" borderId="0" xfId="0" applyNumberFormat="1" applyFont="1" applyAlignment="1">
      <alignment horizontal="center"/>
    </xf>
    <xf numFmtId="173" fontId="4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172" fontId="24" fillId="0" borderId="0" xfId="0" applyNumberFormat="1" applyFont="1" applyAlignment="1" applyProtection="1">
      <alignment/>
      <protection/>
    </xf>
    <xf numFmtId="0" fontId="37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5" fontId="38" fillId="0" borderId="6" xfId="0" applyNumberFormat="1" applyFont="1" applyFill="1" applyBorder="1" applyAlignment="1">
      <alignment horizontal="center"/>
    </xf>
    <xf numFmtId="20" fontId="38" fillId="0" borderId="6" xfId="0" applyNumberFormat="1" applyFont="1" applyFill="1" applyBorder="1" applyAlignment="1">
      <alignment horizontal="center"/>
    </xf>
    <xf numFmtId="169" fontId="38" fillId="0" borderId="6" xfId="0" applyNumberFormat="1" applyFont="1" applyFill="1" applyBorder="1" applyAlignment="1">
      <alignment horizontal="center"/>
    </xf>
    <xf numFmtId="1" fontId="38" fillId="0" borderId="6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164" fontId="38" fillId="0" borderId="6" xfId="0" applyNumberFormat="1" applyFont="1" applyFill="1" applyBorder="1" applyAlignment="1">
      <alignment horizontal="center"/>
    </xf>
    <xf numFmtId="169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5" fontId="38" fillId="0" borderId="0" xfId="0" applyNumberFormat="1" applyFont="1" applyFill="1" applyBorder="1" applyAlignment="1">
      <alignment horizontal="center"/>
    </xf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37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40" fillId="0" borderId="0" xfId="0" applyNumberFormat="1" applyFont="1" applyAlignment="1" applyProtection="1">
      <alignment horizontal="center"/>
      <protection/>
    </xf>
    <xf numFmtId="1" fontId="41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centerContinuous"/>
    </xf>
    <xf numFmtId="1" fontId="40" fillId="0" borderId="0" xfId="0" applyNumberFormat="1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2" xfId="0" applyFont="1" applyBorder="1" applyAlignment="1">
      <alignment/>
    </xf>
    <xf numFmtId="0" fontId="45" fillId="0" borderId="0" xfId="0" applyFont="1" applyBorder="1" applyAlignment="1">
      <alignment/>
    </xf>
    <xf numFmtId="2" fontId="45" fillId="0" borderId="0" xfId="0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"/>
    </xf>
    <xf numFmtId="0" fontId="27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50" fillId="3" borderId="1" xfId="0" applyFont="1" applyFill="1" applyBorder="1" applyAlignment="1">
      <alignment wrapText="1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164" fontId="1" fillId="3" borderId="10" xfId="0" applyNumberFormat="1" applyFont="1" applyFill="1" applyBorder="1" applyAlignment="1">
      <alignment horizontal="center" wrapText="1"/>
    </xf>
    <xf numFmtId="164" fontId="1" fillId="3" borderId="12" xfId="0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645"/>
          <c:w val="0.862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data'!$V$85:$V$95</c:f>
              <c:numCache/>
            </c:numRef>
          </c:val>
          <c:smooth val="1"/>
        </c:ser>
        <c:ser>
          <c:idx val="2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data'!$V$111:$V$120</c:f>
              <c:numCache/>
            </c:numRef>
          </c:val>
          <c:smooth val="0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25937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375"/>
          <c:y val="0.9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375"/>
          <c:w val="0.9295"/>
          <c:h val="0.748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'Walker-carlson'!$N$2:$X$2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'Walker-carlson'!$N$12:$X$12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42469802"/>
        <c:crosses val="autoZero"/>
        <c:auto val="1"/>
        <c:lblOffset val="100"/>
        <c:noMultiLvlLbl val="0"/>
      </c:catAx>
      <c:valAx>
        <c:axId val="42469802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42001569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5(b)
Walker's Seasonal TSI Values Chatfield Reservoir 1998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979"/>
          <c:h val="0.73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'Walker-carlson'!$O$16:$X$16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'Walker-carlson'!$O$26:$X$26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83899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Carlson's Seasonal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05"/>
          <c:w val="0.964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'Walker-carlson'!$C$30:$L$30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'Walker-carlson'!$C$33:$L$33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'Walker-carlson'!$C$28:$L$28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'Walker-carlson'!$C$36:$L$36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23299445"/>
        <c:axId val="8368414"/>
      </c:line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/>
            </a:pPr>
          </a:p>
        </c:txPr>
        <c:crossAx val="23299445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"/>
          <c:y val="0.89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875"/>
          <c:w val="0.8782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cat>
            <c:numRef>
              <c:f>'Res trends'!$A$39:$A$56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'Res trends'!$B$39:$B$56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8206863"/>
        <c:axId val="6752904"/>
      </c:lineChart>
      <c:catAx>
        <c:axId val="8206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52904"/>
        <c:crosses val="autoZero"/>
        <c:auto val="1"/>
        <c:lblOffset val="100"/>
        <c:noMultiLvlLbl val="0"/>
      </c:catAx>
      <c:valAx>
        <c:axId val="675290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06863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4675"/>
          <c:w val="0.859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'Res trends'!$B$20:$B$37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0776137"/>
        <c:axId val="10114322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23920035"/>
        <c:axId val="13953724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0114322"/>
        <c:crosses val="autoZero"/>
        <c:auto val="0"/>
        <c:lblOffset val="100"/>
        <c:noMultiLvlLbl val="0"/>
      </c:cat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76137"/>
        <c:crossesAt val="1"/>
        <c:crossBetween val="between"/>
        <c:dispUnits/>
      </c:valAx>
      <c:catAx>
        <c:axId val="23920035"/>
        <c:scaling>
          <c:orientation val="minMax"/>
        </c:scaling>
        <c:axPos val="b"/>
        <c:delete val="1"/>
        <c:majorTickMark val="in"/>
        <c:minorTickMark val="none"/>
        <c:tickLblPos val="nextTo"/>
        <c:crossAx val="13953724"/>
        <c:crosses val="autoZero"/>
        <c:auto val="0"/>
        <c:lblOffset val="100"/>
        <c:noMultiLvlLbl val="0"/>
      </c:catAx>
      <c:valAx>
        <c:axId val="1395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20035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87"/>
          <c:y val="0.91125"/>
          <c:w val="0.409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 </a:t>
            </a:r>
            <a:r>
              <a:rPr lang="en-US" cap="none" sz="1000" b="1" i="0" u="none" baseline="0"/>
              <a:t>1982-2000 Chatfield Reservoir 
Chlorphyll &amp; Phosphorus 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605"/>
          <c:w val="0.8775"/>
          <c:h val="0.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 = 0.351x + 1.1272
R</a:t>
                    </a:r>
                    <a:r>
                      <a:rPr lang="en-US" cap="none" sz="800" b="0" i="0" u="none" baseline="30000"/>
                      <a:t>2</a:t>
                    </a:r>
                    <a:r>
                      <a:rPr lang="en-US" cap="none" sz="800" b="0" i="0" u="none" baseline="0"/>
                      <a:t> = 0.3066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'Res trends'!$D$39:$D$56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'Res trends'!$E$39:$E$56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8474653"/>
        <c:axId val="56509830"/>
      </c:scatterChart>
      <c:valAx>
        <c:axId val="5847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09830"/>
        <c:crosses val="autoZero"/>
        <c:crossBetween val="midCat"/>
        <c:dispUnits/>
      </c:valAx>
      <c:valAx>
        <c:axId val="56509830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74653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2000 </a:t>
            </a:r>
            <a:r>
              <a:rPr lang="en-US" cap="none" sz="1050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34"/>
          <c:w val="0.871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826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</a:t>
            </a:r>
            <a:r>
              <a:rPr lang="en-US" cap="none" sz="900" b="1" i="0" u="none" baseline="0"/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38"/>
          <c:w val="0.84825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'Res trends'!$B$39:$B$56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7932529"/>
        <c:axId val="51630714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trends'!$C$39:$C$56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62023243"/>
        <c:axId val="21338276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1630714"/>
        <c:crosses val="autoZero"/>
        <c:auto val="0"/>
        <c:lblOffset val="100"/>
        <c:noMultiLvlLbl val="0"/>
      </c:cat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32529"/>
        <c:crossesAt val="1"/>
        <c:crossBetween val="between"/>
        <c:dispUnits/>
      </c:valAx>
      <c:catAx>
        <c:axId val="62023243"/>
        <c:scaling>
          <c:orientation val="minMax"/>
        </c:scaling>
        <c:axPos val="b"/>
        <c:delete val="1"/>
        <c:majorTickMark val="in"/>
        <c:minorTickMark val="none"/>
        <c:tickLblPos val="nextTo"/>
        <c:crossAx val="21338276"/>
        <c:crosses val="autoZero"/>
        <c:auto val="0"/>
        <c:lblOffset val="100"/>
        <c:noMultiLvlLbl val="0"/>
      </c:catAx>
      <c:valAx>
        <c:axId val="213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23243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5"/>
          <c:y val="0.91725"/>
          <c:w val="0.447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0225"/>
          <c:w val="0.9202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826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5"/>
          <c:w val="0.4112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2000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875"/>
          <c:w val="0.8687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(lbs/month)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3455711"/>
        <c:crossesAt val="1"/>
        <c:crossBetween val="between"/>
        <c:dispUnits/>
        <c:min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22"/>
          <c:w val="0.44225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1999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945"/>
          <c:w val="0.86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data'!$W$132:$W$142</c:f>
              <c:numCache/>
            </c:numRef>
          </c:val>
        </c:ser>
        <c:axId val="25644971"/>
        <c:axId val="29478148"/>
      </c:bar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449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2000 Chatfield 
TSS Loading</a:t>
            </a:r>
          </a:p>
        </c:rich>
      </c:tx>
      <c:layout>
        <c:manualLayout>
          <c:xMode val="factor"/>
          <c:yMode val="factor"/>
          <c:x val="0.28275"/>
          <c:y val="0.0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"/>
          <c:w val="0.92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Loading!$B$76:$B$87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Loading!$C$76:$C$87</c:f>
              <c:numCache/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  <c:max val="1800000"/>
          <c:min val="-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4945305"/>
        <c:crossesAt val="1"/>
        <c:crossBetween val="between"/>
        <c:dispUnits/>
        <c:minorUnit val="50000"/>
      </c:valAx>
      <c:spPr>
        <a:noFill/>
      </c:spPr>
    </c:plotArea>
    <c:legend>
      <c:legendPos val="r"/>
      <c:layout>
        <c:manualLayout>
          <c:xMode val="edge"/>
          <c:yMode val="edge"/>
          <c:x val="0.216"/>
          <c:y val="0.1005"/>
          <c:w val="0.23825"/>
          <c:h val="0.1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2000 Total Suspended Solids [Pounds]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2225"/>
          <c:w val="0.8055"/>
          <c:h val="0.5755"/>
        </c:manualLayout>
      </c:layout>
      <c:pie3DChart>
        <c:varyColors val="1"/>
        <c:ser>
          <c:idx val="0"/>
          <c:order val="0"/>
          <c:tx>
            <c:strRef>
              <c:f>Loading!$A$74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6,312,928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Loading!$B$74:$C$74</c:f>
              <c:strCache/>
            </c:strRef>
          </c:cat>
          <c:val>
            <c:numRef>
              <c:f>Loading!$B$88:$C$88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5"/>
          <c:y val="0.831"/>
          <c:w val="0.5215"/>
          <c:h val="0.14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2000 Chatfield Reservoir Total Nitrate Loading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Loading!$H$15</c:f>
              <c:strCache>
                <c:ptCount val="1"/>
                <c:pt idx="0">
                  <c:v>2000 Chatfield Reservoir</c:v>
                </c:pt>
              </c:strCache>
            </c:strRef>
          </c:tx>
          <c:spPr>
            <a:solidFill>
              <a:srgbClr val="00FF00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explosion val="33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Loading!$B$2:$C$2</c:f>
              <c:strCache/>
            </c:strRef>
          </c:cat>
          <c:val>
            <c:numRef>
              <c:f>Loading!$B$15:$C$15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2000 Reservoir Total Phosphorus loading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285"/>
          <c:w val="0.62475"/>
          <c:h val="0.44425"/>
        </c:manualLayout>
      </c:layout>
      <c:pie3DChart>
        <c:varyColors val="1"/>
        <c:ser>
          <c:idx val="0"/>
          <c:order val="0"/>
          <c:tx>
            <c:strRef>
              <c:f>Loading!$A$37</c:f>
              <c:strCache>
                <c:ptCount val="1"/>
                <c:pt idx="0">
                  <c:v>2000 Total Phosphorus loading</c:v>
                </c:pt>
              </c:strCache>
            </c:strRef>
          </c:tx>
          <c:spPr>
            <a:solidFill>
              <a:srgbClr val="00FF00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99CCFF"/>
              </a:solidFill>
            </c:spPr>
          </c:dPt>
          <c:dPt>
            <c:idx val="1"/>
            <c:explosion val="39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Loading!$B$38:$C$38</c:f>
              <c:strCache/>
            </c:strRef>
          </c:cat>
          <c:val>
            <c:numRef>
              <c:f>Loading!$B$51:$C$51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6"/>
          <c:y val="0.87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TMAL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"/>
          <c:w val="0.882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Models!$C$24:$C$31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Models!$D$24:$D$31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Models!$A$54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Models!$B$62:$B$71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Models!$C$62:$C$71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1997427"/>
        <c:axId val="40867980"/>
      </c:scatterChart>
      <c:valAx>
        <c:axId val="11997427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867980"/>
        <c:crosses val="autoZero"/>
        <c:crossBetween val="midCat"/>
        <c:dispUnits/>
        <c:majorUnit val="50000"/>
        <c:minorUnit val="5000"/>
      </c:valAx>
      <c:valAx>
        <c:axId val="4086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- Annual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97427"/>
        <c:crosses val="autoZero"/>
        <c:crossBetween val="midCat"/>
        <c:dispUnits/>
        <c:majorUnit val="2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525"/>
          <c:w val="0.905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data'!$Y$85:$Y$95</c:f>
              <c:numCache/>
            </c:numRef>
          </c:val>
          <c:smooth val="1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data'!$Y$111:$Y$121</c:f>
              <c:numCache/>
            </c:numRef>
          </c:val>
          <c:smooth val="1"/>
        </c:ser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7674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875"/>
          <c:y val="0.9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1999 Chatfield Reservoir 
Average Total Phosphorus Concentration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9875"/>
          <c:w val="0.87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data'!$Y$132:$Y$142</c:f>
              <c:numCache/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335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 Chatfield Inflows 
Ammonia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9775"/>
          <c:w val="0.858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data'!$W$85:$W$95</c:f>
              <c:numCache/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data'!$W$111:$W$121</c:f>
              <c:numCache/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63065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575"/>
          <c:y val="0.8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625"/>
          <c:w val="0.869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data'!$Z$85:$Z$95</c:f>
              <c:numCache/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data'!$Z$111:$Z$121</c:f>
              <c:numCache/>
            </c:numRef>
          </c:val>
          <c:smooth val="0"/>
        </c:ser>
        <c:marker val="1"/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4984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5225"/>
          <c:y val="0.9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1999 Chatfield Reservoir 
Total Suspended Sediment Concentrations</a:t>
            </a:r>
          </a:p>
        </c:rich>
      </c:tx>
      <c:layout>
        <c:manualLayout>
          <c:xMode val="factor"/>
          <c:yMode val="factor"/>
          <c:x val="0.014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5"/>
          <c:w val="0.893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data'!$Z$132:$Z$142</c:f>
              <c:numCache/>
            </c:numRef>
          </c:val>
        </c:ser>
        <c:axId val="60927053"/>
        <c:axId val="11472566"/>
      </c:bar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270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1999 Chatfield Reservoir 
Specific Conductance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555"/>
          <c:w val="0.878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data'!$O$85:$O$95</c:f>
              <c:strCache/>
            </c:strRef>
          </c:cat>
          <c:val>
            <c:numRef>
              <c:f>'River-Res data'!$R$85:$R$95</c:f>
              <c:numCache/>
            </c:numRef>
          </c:val>
        </c:ser>
        <c:axId val="36144231"/>
        <c:axId val="56862624"/>
      </c:bar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Conducatnce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44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125"/>
          <c:w val="0.76225"/>
          <c:h val="0.52625"/>
        </c:manualLayout>
      </c:layout>
      <c:pie3DChart>
        <c:varyColors val="1"/>
        <c:ser>
          <c:idx val="0"/>
          <c:order val="0"/>
          <c:tx>
            <c:strRef>
              <c:f>'2000 Flow'!$E$13:$J$13</c:f>
              <c:strCache>
                <c:ptCount val="1"/>
                <c:pt idx="0">
                  <c:v>2000 Flow Estimates Chatfield Watershed</c:v>
                </c:pt>
              </c:strCache>
            </c:strRef>
          </c:tx>
          <c:spPr>
            <a:solidFill>
              <a:srgbClr val="CCFFCC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'2000 Flow'!$F$15:$G$16</c:f>
              <c:multiLvlStrCache/>
            </c:multiLvlStrRef>
          </c:cat>
          <c:val>
            <c:numRef>
              <c:f>'2000 Flow'!$F$30:$G$30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6"/>
          <c:y val="0.87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447675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30861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3705225" y="209550"/>
        <a:ext cx="33718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447675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31051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16</xdr:row>
      <xdr:rowOff>66675</xdr:rowOff>
    </xdr:from>
    <xdr:to>
      <xdr:col>11</xdr:col>
      <xdr:colOff>561975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3743325" y="2657475"/>
        <a:ext cx="3276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447675</xdr:colOff>
      <xdr:row>42</xdr:row>
      <xdr:rowOff>114300</xdr:rowOff>
    </xdr:to>
    <xdr:graphicFrame>
      <xdr:nvGraphicFramePr>
        <xdr:cNvPr id="5" name="Chart 6"/>
        <xdr:cNvGraphicFramePr/>
      </xdr:nvGraphicFramePr>
      <xdr:xfrm>
        <a:off x="171450" y="5200650"/>
        <a:ext cx="296227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44</xdr:row>
      <xdr:rowOff>104775</xdr:rowOff>
    </xdr:from>
    <xdr:to>
      <xdr:col>5</xdr:col>
      <xdr:colOff>200025</xdr:colOff>
      <xdr:row>58</xdr:row>
      <xdr:rowOff>28575</xdr:rowOff>
    </xdr:to>
    <xdr:graphicFrame>
      <xdr:nvGraphicFramePr>
        <xdr:cNvPr id="6" name="Chart 7"/>
        <xdr:cNvGraphicFramePr/>
      </xdr:nvGraphicFramePr>
      <xdr:xfrm>
        <a:off x="190500" y="7229475"/>
        <a:ext cx="31432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514350</xdr:colOff>
      <xdr:row>32</xdr:row>
      <xdr:rowOff>9525</xdr:rowOff>
    </xdr:from>
    <xdr:to>
      <xdr:col>11</xdr:col>
      <xdr:colOff>533400</xdr:colOff>
      <xdr:row>42</xdr:row>
      <xdr:rowOff>104775</xdr:rowOff>
    </xdr:to>
    <xdr:graphicFrame>
      <xdr:nvGraphicFramePr>
        <xdr:cNvPr id="7" name="Chart 8"/>
        <xdr:cNvGraphicFramePr/>
      </xdr:nvGraphicFramePr>
      <xdr:xfrm>
        <a:off x="3648075" y="5191125"/>
        <a:ext cx="3343275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476250</xdr:colOff>
      <xdr:row>44</xdr:row>
      <xdr:rowOff>76200</xdr:rowOff>
    </xdr:from>
    <xdr:to>
      <xdr:col>12</xdr:col>
      <xdr:colOff>76200</xdr:colOff>
      <xdr:row>57</xdr:row>
      <xdr:rowOff>66675</xdr:rowOff>
    </xdr:to>
    <xdr:graphicFrame>
      <xdr:nvGraphicFramePr>
        <xdr:cNvPr id="8" name="Chart 10"/>
        <xdr:cNvGraphicFramePr/>
      </xdr:nvGraphicFramePr>
      <xdr:xfrm>
        <a:off x="3609975" y="7200900"/>
        <a:ext cx="3533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15</xdr:row>
      <xdr:rowOff>19050</xdr:rowOff>
    </xdr:from>
    <xdr:to>
      <xdr:col>16</xdr:col>
      <xdr:colOff>581025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7543800" y="24479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37</xdr:row>
      <xdr:rowOff>38100</xdr:rowOff>
    </xdr:from>
    <xdr:to>
      <xdr:col>22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658350" y="6029325"/>
        <a:ext cx="46386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51</xdr:row>
      <xdr:rowOff>19050</xdr:rowOff>
    </xdr:from>
    <xdr:to>
      <xdr:col>22</xdr:col>
      <xdr:colOff>352425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9667875" y="8277225"/>
        <a:ext cx="4619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49</xdr:row>
      <xdr:rowOff>142875</xdr:rowOff>
    </xdr:from>
    <xdr:to>
      <xdr:col>9</xdr:col>
      <xdr:colOff>28575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657225" y="8077200"/>
        <a:ext cx="5381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3448050" y="142875"/>
        <a:ext cx="3448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14</xdr:row>
      <xdr:rowOff>38100</xdr:rowOff>
    </xdr:from>
    <xdr:to>
      <xdr:col>11</xdr:col>
      <xdr:colOff>600075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3448050" y="2876550"/>
        <a:ext cx="4248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16</xdr:row>
      <xdr:rowOff>28575</xdr:rowOff>
    </xdr:from>
    <xdr:to>
      <xdr:col>18</xdr:col>
      <xdr:colOff>542925</xdr:colOff>
      <xdr:row>32</xdr:row>
      <xdr:rowOff>9525</xdr:rowOff>
    </xdr:to>
    <xdr:graphicFrame>
      <xdr:nvGraphicFramePr>
        <xdr:cNvPr id="3" name="Chart 4"/>
        <xdr:cNvGraphicFramePr/>
      </xdr:nvGraphicFramePr>
      <xdr:xfrm>
        <a:off x="7877175" y="3190875"/>
        <a:ext cx="40290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0</xdr:row>
      <xdr:rowOff>142875</xdr:rowOff>
    </xdr:from>
    <xdr:to>
      <xdr:col>18</xdr:col>
      <xdr:colOff>342900</xdr:colOff>
      <xdr:row>14</xdr:row>
      <xdr:rowOff>133350</xdr:rowOff>
    </xdr:to>
    <xdr:graphicFrame>
      <xdr:nvGraphicFramePr>
        <xdr:cNvPr id="4" name="Chart 5"/>
        <xdr:cNvGraphicFramePr/>
      </xdr:nvGraphicFramePr>
      <xdr:xfrm>
        <a:off x="7848600" y="142875"/>
        <a:ext cx="385762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39</xdr:row>
      <xdr:rowOff>57150</xdr:rowOff>
    </xdr:from>
    <xdr:to>
      <xdr:col>11</xdr:col>
      <xdr:colOff>561975</xdr:colOff>
      <xdr:row>56</xdr:row>
      <xdr:rowOff>38100</xdr:rowOff>
    </xdr:to>
    <xdr:graphicFrame>
      <xdr:nvGraphicFramePr>
        <xdr:cNvPr id="5" name="Chart 6"/>
        <xdr:cNvGraphicFramePr/>
      </xdr:nvGraphicFramePr>
      <xdr:xfrm>
        <a:off x="3762375" y="6943725"/>
        <a:ext cx="38957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43175"/>
        <a:ext cx="4695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53</xdr:row>
      <xdr:rowOff>9525</xdr:rowOff>
    </xdr:from>
    <xdr:to>
      <xdr:col>6</xdr:col>
      <xdr:colOff>161925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485775" y="8591550"/>
        <a:ext cx="4286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88</xdr:row>
      <xdr:rowOff>76200</xdr:rowOff>
    </xdr:from>
    <xdr:to>
      <xdr:col>6</xdr:col>
      <xdr:colOff>47625</xdr:colOff>
      <xdr:row>100</xdr:row>
      <xdr:rowOff>114300</xdr:rowOff>
    </xdr:to>
    <xdr:graphicFrame>
      <xdr:nvGraphicFramePr>
        <xdr:cNvPr id="3" name="Chart 4"/>
        <xdr:cNvGraphicFramePr/>
      </xdr:nvGraphicFramePr>
      <xdr:xfrm>
        <a:off x="295275" y="14297025"/>
        <a:ext cx="43624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75</xdr:row>
      <xdr:rowOff>57150</xdr:rowOff>
    </xdr:from>
    <xdr:to>
      <xdr:col>13</xdr:col>
      <xdr:colOff>161925</xdr:colOff>
      <xdr:row>88</xdr:row>
      <xdr:rowOff>9525</xdr:rowOff>
    </xdr:to>
    <xdr:graphicFrame>
      <xdr:nvGraphicFramePr>
        <xdr:cNvPr id="4" name="Chart 9"/>
        <xdr:cNvGraphicFramePr/>
      </xdr:nvGraphicFramePr>
      <xdr:xfrm>
        <a:off x="5581650" y="12172950"/>
        <a:ext cx="36099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16</xdr:row>
      <xdr:rowOff>95250</xdr:rowOff>
    </xdr:from>
    <xdr:to>
      <xdr:col>12</xdr:col>
      <xdr:colOff>438150</xdr:colOff>
      <xdr:row>29</xdr:row>
      <xdr:rowOff>47625</xdr:rowOff>
    </xdr:to>
    <xdr:graphicFrame>
      <xdr:nvGraphicFramePr>
        <xdr:cNvPr id="5" name="Chart 10"/>
        <xdr:cNvGraphicFramePr/>
      </xdr:nvGraphicFramePr>
      <xdr:xfrm>
        <a:off x="5324475" y="2686050"/>
        <a:ext cx="35337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142875</xdr:colOff>
      <xdr:row>36</xdr:row>
      <xdr:rowOff>19050</xdr:rowOff>
    </xdr:from>
    <xdr:to>
      <xdr:col>13</xdr:col>
      <xdr:colOff>95250</xdr:colOff>
      <xdr:row>48</xdr:row>
      <xdr:rowOff>133350</xdr:rowOff>
    </xdr:to>
    <xdr:graphicFrame>
      <xdr:nvGraphicFramePr>
        <xdr:cNvPr id="6" name="Chart 11"/>
        <xdr:cNvGraphicFramePr/>
      </xdr:nvGraphicFramePr>
      <xdr:xfrm>
        <a:off x="5514975" y="5848350"/>
        <a:ext cx="3609975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0.58775</cdr:y>
    </cdr:from>
    <cdr:to>
      <cdr:x>0.6805</cdr:x>
      <cdr:y>0.73875</cdr:y>
    </cdr:to>
    <cdr:sp>
      <cdr:nvSpPr>
        <cdr:cNvPr id="1" name="TextBox 2"/>
        <cdr:cNvSpPr txBox="1">
          <a:spLocks noChangeArrowheads="1"/>
        </cdr:cNvSpPr>
      </cdr:nvSpPr>
      <cdr:spPr>
        <a:xfrm flipH="1">
          <a:off x="2886075" y="1962150"/>
          <a:ext cx="1114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1999</a:t>
          </a:r>
        </a:p>
      </cdr:txBody>
    </cdr:sp>
  </cdr:relSizeAnchor>
  <cdr:relSizeAnchor xmlns:cdr="http://schemas.openxmlformats.org/drawingml/2006/chartDrawing">
    <cdr:from>
      <cdr:x>0.308</cdr:x>
      <cdr:y>0.69325</cdr:y>
    </cdr:from>
    <cdr:to>
      <cdr:x>0.361</cdr:x>
      <cdr:y>0.73975</cdr:y>
    </cdr:to>
    <cdr:sp>
      <cdr:nvSpPr>
        <cdr:cNvPr id="2" name="TextBox 3"/>
        <cdr:cNvSpPr txBox="1">
          <a:spLocks noChangeArrowheads="1"/>
        </cdr:cNvSpPr>
      </cdr:nvSpPr>
      <cdr:spPr>
        <a:xfrm>
          <a:off x="1809750" y="23145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0.706</cdr:x>
      <cdr:y>0.465</cdr:y>
    </cdr:from>
    <cdr:to>
      <cdr:x>0.76375</cdr:x>
      <cdr:y>0.51775</cdr:y>
    </cdr:to>
    <cdr:sp>
      <cdr:nvSpPr>
        <cdr:cNvPr id="3" name="TextBox 4"/>
        <cdr:cNvSpPr txBox="1">
          <a:spLocks noChangeArrowheads="1"/>
        </cdr:cNvSpPr>
      </cdr:nvSpPr>
      <cdr:spPr>
        <a:xfrm>
          <a:off x="4152900" y="15525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0.5805</cdr:x>
      <cdr:y>0.58775</cdr:y>
    </cdr:from>
    <cdr:to>
      <cdr:x>0.6305</cdr:x>
      <cdr:y>0.6375</cdr:y>
    </cdr:to>
    <cdr:sp>
      <cdr:nvSpPr>
        <cdr:cNvPr id="4" name="TextBox 5"/>
        <cdr:cNvSpPr txBox="1">
          <a:spLocks noChangeArrowheads="1"/>
        </cdr:cNvSpPr>
      </cdr:nvSpPr>
      <cdr:spPr>
        <a:xfrm>
          <a:off x="3409950" y="196215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1996</a:t>
          </a:r>
        </a:p>
      </cdr:txBody>
    </cdr:sp>
  </cdr:relSizeAnchor>
  <cdr:relSizeAnchor xmlns:cdr="http://schemas.openxmlformats.org/drawingml/2006/chartDrawing">
    <cdr:from>
      <cdr:x>0.6305</cdr:x>
      <cdr:y>0.58775</cdr:y>
    </cdr:from>
    <cdr:to>
      <cdr:x>0.68225</cdr:x>
      <cdr:y>0.6375</cdr:y>
    </cdr:to>
    <cdr:sp>
      <cdr:nvSpPr>
        <cdr:cNvPr id="5" name="TextBox 6"/>
        <cdr:cNvSpPr txBox="1">
          <a:spLocks noChangeArrowheads="1"/>
        </cdr:cNvSpPr>
      </cdr:nvSpPr>
      <cdr:spPr>
        <a:xfrm>
          <a:off x="3705225" y="1962150"/>
          <a:ext cx="304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1997</a:t>
          </a:r>
        </a:p>
      </cdr:txBody>
    </cdr:sp>
  </cdr:relSizeAnchor>
  <cdr:relSizeAnchor xmlns:cdr="http://schemas.openxmlformats.org/drawingml/2006/chartDrawing">
    <cdr:from>
      <cdr:x>0.49125</cdr:x>
      <cdr:y>0.465</cdr:y>
    </cdr:from>
    <cdr:to>
      <cdr:x>0.569</cdr:x>
      <cdr:y>0.53775</cdr:y>
    </cdr:to>
    <cdr:sp>
      <cdr:nvSpPr>
        <cdr:cNvPr id="6" name="TextBox 8"/>
        <cdr:cNvSpPr txBox="1">
          <a:spLocks noChangeArrowheads="1"/>
        </cdr:cNvSpPr>
      </cdr:nvSpPr>
      <cdr:spPr>
        <a:xfrm flipH="1" flipV="1">
          <a:off x="2886075" y="155257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31</xdr:row>
      <xdr:rowOff>0</xdr:rowOff>
    </xdr:from>
    <xdr:to>
      <xdr:col>8</xdr:col>
      <xdr:colOff>9525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1495425" y="5019675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tabSelected="1" workbookViewId="0" topLeftCell="A146">
      <selection activeCell="H187" sqref="H187"/>
    </sheetView>
  </sheetViews>
  <sheetFormatPr defaultColWidth="9.140625" defaultRowHeight="12.75"/>
  <cols>
    <col min="1" max="1" width="12.57421875" style="10" customWidth="1"/>
    <col min="2" max="2" width="9.140625" style="10" customWidth="1"/>
    <col min="3" max="3" width="8.7109375" style="10" customWidth="1"/>
    <col min="4" max="4" width="9.8515625" style="10" bestFit="1" customWidth="1"/>
    <col min="5" max="5" width="6.7109375" style="10" bestFit="1" customWidth="1"/>
    <col min="6" max="6" width="8.57421875" style="10" customWidth="1"/>
    <col min="7" max="7" width="5.7109375" style="10" bestFit="1" customWidth="1"/>
    <col min="8" max="8" width="7.8515625" style="10" bestFit="1" customWidth="1"/>
    <col min="9" max="9" width="8.00390625" style="10" bestFit="1" customWidth="1"/>
    <col min="10" max="10" width="10.57421875" style="10" customWidth="1"/>
    <col min="11" max="14" width="9.140625" style="10" customWidth="1"/>
    <col min="15" max="15" width="12.00390625" style="10" customWidth="1"/>
    <col min="16" max="16384" width="9.140625" style="10" customWidth="1"/>
  </cols>
  <sheetData>
    <row r="1" spans="1:7" ht="12.75">
      <c r="A1" s="8"/>
      <c r="B1" s="9"/>
      <c r="C1" s="9"/>
      <c r="D1" s="9"/>
      <c r="E1" s="9"/>
      <c r="F1" s="187"/>
      <c r="G1" s="187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96" customFormat="1" ht="12" customHeight="1">
      <c r="A62" s="34" t="s">
        <v>101</v>
      </c>
      <c r="B62" s="34"/>
      <c r="C62" s="38" t="s">
        <v>14</v>
      </c>
      <c r="D62" s="39" t="s">
        <v>19</v>
      </c>
      <c r="E62" s="38" t="s">
        <v>132</v>
      </c>
      <c r="F62" s="39" t="s">
        <v>133</v>
      </c>
      <c r="G62" s="39" t="s">
        <v>134</v>
      </c>
      <c r="H62" s="37" t="s">
        <v>135</v>
      </c>
      <c r="I62" s="37" t="s">
        <v>140</v>
      </c>
      <c r="J62" s="37" t="s">
        <v>141</v>
      </c>
      <c r="K62" s="37" t="s">
        <v>137</v>
      </c>
      <c r="L62" s="37" t="s">
        <v>37</v>
      </c>
      <c r="M62" s="99" t="s">
        <v>136</v>
      </c>
      <c r="O62" s="34" t="s">
        <v>101</v>
      </c>
      <c r="P62" s="38" t="s">
        <v>14</v>
      </c>
      <c r="Q62" s="39" t="s">
        <v>19</v>
      </c>
      <c r="R62" s="38" t="s">
        <v>132</v>
      </c>
      <c r="S62" s="39" t="s">
        <v>133</v>
      </c>
      <c r="T62" s="39" t="s">
        <v>134</v>
      </c>
      <c r="U62" s="37" t="s">
        <v>135</v>
      </c>
      <c r="V62" s="37" t="s">
        <v>140</v>
      </c>
      <c r="W62" s="37" t="s">
        <v>141</v>
      </c>
      <c r="X62" s="37" t="s">
        <v>137</v>
      </c>
      <c r="Y62" s="37" t="s">
        <v>37</v>
      </c>
      <c r="Z62" s="99" t="s">
        <v>136</v>
      </c>
    </row>
    <row r="63" spans="1:26" ht="12.75">
      <c r="A63" s="41" t="s">
        <v>105</v>
      </c>
      <c r="B63" s="41" t="s">
        <v>114</v>
      </c>
      <c r="C63" s="43" t="s">
        <v>113</v>
      </c>
      <c r="D63" s="42" t="s">
        <v>111</v>
      </c>
      <c r="E63" s="43" t="s">
        <v>107</v>
      </c>
      <c r="F63" s="42" t="s">
        <v>38</v>
      </c>
      <c r="G63" s="42" t="s">
        <v>39</v>
      </c>
      <c r="H63" s="41" t="s">
        <v>40</v>
      </c>
      <c r="I63" s="41" t="s">
        <v>41</v>
      </c>
      <c r="J63" s="41" t="s">
        <v>38</v>
      </c>
      <c r="K63" s="44" t="s">
        <v>42</v>
      </c>
      <c r="L63" s="41" t="s">
        <v>42</v>
      </c>
      <c r="M63" s="41" t="s">
        <v>109</v>
      </c>
      <c r="O63" s="41" t="s">
        <v>105</v>
      </c>
      <c r="P63" s="43" t="s">
        <v>113</v>
      </c>
      <c r="Q63" s="42" t="s">
        <v>111</v>
      </c>
      <c r="R63" s="43" t="s">
        <v>107</v>
      </c>
      <c r="S63" s="42" t="s">
        <v>38</v>
      </c>
      <c r="T63" s="42" t="s">
        <v>39</v>
      </c>
      <c r="U63" s="41" t="s">
        <v>40</v>
      </c>
      <c r="V63" s="41" t="s">
        <v>41</v>
      </c>
      <c r="W63" s="41" t="s">
        <v>38</v>
      </c>
      <c r="X63" s="44" t="s">
        <v>42</v>
      </c>
      <c r="Y63" s="41" t="s">
        <v>42</v>
      </c>
      <c r="Z63" s="41" t="s">
        <v>109</v>
      </c>
    </row>
    <row r="64" spans="1:15" ht="12.75">
      <c r="A64" s="107">
        <v>36209</v>
      </c>
      <c r="B64" s="108">
        <v>0.3611111111111111</v>
      </c>
      <c r="C64" s="109">
        <v>1.6</v>
      </c>
      <c r="D64" s="110">
        <v>7.78</v>
      </c>
      <c r="E64" s="109">
        <v>327</v>
      </c>
      <c r="F64" s="110">
        <v>11</v>
      </c>
      <c r="G64" s="110">
        <v>0.5</v>
      </c>
      <c r="H64" s="112">
        <v>1</v>
      </c>
      <c r="I64" s="114">
        <v>0.14</v>
      </c>
      <c r="J64" s="114">
        <v>0.07</v>
      </c>
      <c r="K64" s="114">
        <v>0.005</v>
      </c>
      <c r="L64" s="114">
        <v>0.01</v>
      </c>
      <c r="M64" s="116">
        <v>5</v>
      </c>
      <c r="O64" s="10" t="s">
        <v>88</v>
      </c>
    </row>
    <row r="65" spans="1:26" ht="12.75">
      <c r="A65" s="107">
        <v>36229</v>
      </c>
      <c r="B65" s="108">
        <v>0.34027777777777773</v>
      </c>
      <c r="C65" s="109">
        <v>49</v>
      </c>
      <c r="D65" s="110">
        <v>7.69</v>
      </c>
      <c r="E65" s="109">
        <v>322</v>
      </c>
      <c r="F65" s="110">
        <v>13.01</v>
      </c>
      <c r="G65" s="110">
        <v>4</v>
      </c>
      <c r="H65" s="112">
        <v>1</v>
      </c>
      <c r="I65" s="114">
        <v>0.02</v>
      </c>
      <c r="J65" s="114">
        <v>0.05</v>
      </c>
      <c r="K65" s="114">
        <v>0.005</v>
      </c>
      <c r="L65" s="114">
        <v>0.01</v>
      </c>
      <c r="M65" s="116">
        <v>6</v>
      </c>
      <c r="O65" s="10" t="s">
        <v>0</v>
      </c>
      <c r="P65" s="10">
        <f>C64</f>
        <v>1.6</v>
      </c>
      <c r="Q65" s="10">
        <f aca="true" t="shared" si="0" ref="Q65:Y65">D64</f>
        <v>7.78</v>
      </c>
      <c r="R65" s="10">
        <f t="shared" si="0"/>
        <v>327</v>
      </c>
      <c r="S65" s="10">
        <f t="shared" si="0"/>
        <v>11</v>
      </c>
      <c r="T65" s="10">
        <f t="shared" si="0"/>
        <v>0.5</v>
      </c>
      <c r="U65" s="10">
        <f t="shared" si="0"/>
        <v>1</v>
      </c>
      <c r="V65" s="11">
        <v>0.36</v>
      </c>
      <c r="W65" s="11">
        <f t="shared" si="0"/>
        <v>0.07</v>
      </c>
      <c r="X65" s="11">
        <f t="shared" si="0"/>
        <v>0.005</v>
      </c>
      <c r="Y65" s="11">
        <f t="shared" si="0"/>
        <v>0.01</v>
      </c>
      <c r="Z65" s="17">
        <v>2.5</v>
      </c>
    </row>
    <row r="66" spans="1:26" ht="12.75">
      <c r="A66" s="107">
        <v>36229</v>
      </c>
      <c r="B66" s="109">
        <v>9999</v>
      </c>
      <c r="C66" s="109">
        <v>49</v>
      </c>
      <c r="D66" s="110">
        <v>7.69</v>
      </c>
      <c r="E66" s="109">
        <v>322</v>
      </c>
      <c r="F66" s="110">
        <v>13.01</v>
      </c>
      <c r="G66" s="110">
        <v>4</v>
      </c>
      <c r="H66" s="112">
        <v>1</v>
      </c>
      <c r="I66" s="114">
        <v>0.03</v>
      </c>
      <c r="J66" s="114">
        <v>0.05</v>
      </c>
      <c r="K66" s="114">
        <v>0.005</v>
      </c>
      <c r="L66" s="114">
        <v>0.01</v>
      </c>
      <c r="M66" s="116">
        <v>5</v>
      </c>
      <c r="O66" s="10" t="s">
        <v>1</v>
      </c>
      <c r="P66" s="10">
        <f>AVERAGE(C65:C66)</f>
        <v>49</v>
      </c>
      <c r="Q66" s="10">
        <f aca="true" t="shared" si="1" ref="Q66:Y66">AVERAGE(D65:D66)</f>
        <v>7.69</v>
      </c>
      <c r="R66" s="10">
        <f t="shared" si="1"/>
        <v>322</v>
      </c>
      <c r="S66" s="10">
        <f t="shared" si="1"/>
        <v>13.01</v>
      </c>
      <c r="T66" s="10">
        <f t="shared" si="1"/>
        <v>4</v>
      </c>
      <c r="U66" s="10">
        <f t="shared" si="1"/>
        <v>1</v>
      </c>
      <c r="V66" s="10">
        <v>0.12</v>
      </c>
      <c r="W66" s="10">
        <f t="shared" si="1"/>
        <v>0.05</v>
      </c>
      <c r="X66" s="10">
        <f t="shared" si="1"/>
        <v>0.005</v>
      </c>
      <c r="Y66" s="10">
        <f t="shared" si="1"/>
        <v>0.01</v>
      </c>
      <c r="Z66" s="10">
        <v>2.5</v>
      </c>
    </row>
    <row r="67" spans="1:26" ht="12.75">
      <c r="A67" s="107">
        <v>36243</v>
      </c>
      <c r="B67" s="108">
        <v>0.3645833333333333</v>
      </c>
      <c r="C67" s="109">
        <v>37</v>
      </c>
      <c r="D67" s="110">
        <v>6.46</v>
      </c>
      <c r="E67" s="109">
        <v>313</v>
      </c>
      <c r="F67" s="110">
        <v>13.4</v>
      </c>
      <c r="G67" s="110">
        <v>7.9</v>
      </c>
      <c r="H67" s="112">
        <v>1</v>
      </c>
      <c r="I67" s="114">
        <v>0.12</v>
      </c>
      <c r="J67" s="114">
        <v>0.05</v>
      </c>
      <c r="K67" s="114">
        <v>0.005</v>
      </c>
      <c r="L67" s="114">
        <v>0.01</v>
      </c>
      <c r="M67" s="116">
        <v>5</v>
      </c>
      <c r="O67" s="10" t="s">
        <v>2</v>
      </c>
      <c r="P67" s="10">
        <f>C68</f>
        <v>28</v>
      </c>
      <c r="Q67" s="10">
        <f aca="true" t="shared" si="2" ref="Q67:Y69">D68</f>
        <v>7.35</v>
      </c>
      <c r="R67" s="10">
        <f t="shared" si="2"/>
        <v>319</v>
      </c>
      <c r="S67" s="10">
        <f t="shared" si="2"/>
        <v>10.25</v>
      </c>
      <c r="T67" s="10">
        <f t="shared" si="2"/>
        <v>6.5</v>
      </c>
      <c r="U67" s="10">
        <f t="shared" si="2"/>
        <v>1</v>
      </c>
      <c r="V67" s="11">
        <v>0.15</v>
      </c>
      <c r="W67" s="11">
        <f t="shared" si="2"/>
        <v>0.05</v>
      </c>
      <c r="X67" s="11">
        <f t="shared" si="2"/>
        <v>0.005</v>
      </c>
      <c r="Y67" s="11">
        <f t="shared" si="2"/>
        <v>0.01</v>
      </c>
      <c r="Z67" s="17">
        <v>6</v>
      </c>
    </row>
    <row r="68" spans="1:26" ht="12.75">
      <c r="A68" s="107">
        <v>36265</v>
      </c>
      <c r="B68" s="108">
        <v>0.34375</v>
      </c>
      <c r="C68" s="109">
        <v>28</v>
      </c>
      <c r="D68" s="110">
        <v>7.35</v>
      </c>
      <c r="E68" s="109">
        <v>319</v>
      </c>
      <c r="F68" s="110">
        <v>10.25</v>
      </c>
      <c r="G68" s="110">
        <v>6.5</v>
      </c>
      <c r="H68" s="112">
        <v>1</v>
      </c>
      <c r="I68" s="114">
        <v>0.02</v>
      </c>
      <c r="J68" s="114">
        <v>0.05</v>
      </c>
      <c r="K68" s="114">
        <v>0.005</v>
      </c>
      <c r="L68" s="114">
        <v>0.01</v>
      </c>
      <c r="M68" s="116">
        <v>10</v>
      </c>
      <c r="O68" s="10" t="s">
        <v>3</v>
      </c>
      <c r="P68" s="10">
        <f>C69</f>
        <v>160</v>
      </c>
      <c r="Q68" s="10">
        <f t="shared" si="2"/>
        <v>7.42</v>
      </c>
      <c r="R68" s="10">
        <f t="shared" si="2"/>
        <v>249</v>
      </c>
      <c r="S68" s="10">
        <f t="shared" si="2"/>
        <v>13.93</v>
      </c>
      <c r="T68" s="10">
        <f t="shared" si="2"/>
        <v>13.1</v>
      </c>
      <c r="U68" s="10">
        <f t="shared" si="2"/>
        <v>22</v>
      </c>
      <c r="V68" s="11">
        <v>0.07</v>
      </c>
      <c r="W68" s="11">
        <f t="shared" si="2"/>
        <v>0.05</v>
      </c>
      <c r="X68" s="11">
        <f t="shared" si="2"/>
        <v>0.113</v>
      </c>
      <c r="Y68" s="11">
        <f t="shared" si="2"/>
        <v>0.08</v>
      </c>
      <c r="Z68" s="17">
        <v>2.5</v>
      </c>
    </row>
    <row r="69" spans="1:26" ht="12.75">
      <c r="A69" s="107">
        <v>36299</v>
      </c>
      <c r="B69" s="108">
        <v>0.375</v>
      </c>
      <c r="C69" s="109">
        <v>160</v>
      </c>
      <c r="D69" s="110">
        <v>7.42</v>
      </c>
      <c r="E69" s="109">
        <v>249</v>
      </c>
      <c r="F69" s="110">
        <v>13.93</v>
      </c>
      <c r="G69" s="110">
        <v>13.1</v>
      </c>
      <c r="H69" s="112">
        <v>22</v>
      </c>
      <c r="I69" s="114">
        <v>0.18</v>
      </c>
      <c r="J69" s="114">
        <v>0.05</v>
      </c>
      <c r="K69" s="114">
        <v>0.113</v>
      </c>
      <c r="L69" s="114">
        <v>0.08</v>
      </c>
      <c r="M69" s="116">
        <v>58</v>
      </c>
      <c r="O69" s="10" t="s">
        <v>4</v>
      </c>
      <c r="P69" s="10">
        <f>C70</f>
        <v>500</v>
      </c>
      <c r="Q69" s="10">
        <f t="shared" si="2"/>
        <v>6.81</v>
      </c>
      <c r="R69" s="10">
        <f t="shared" si="2"/>
        <v>201</v>
      </c>
      <c r="S69" s="10">
        <f t="shared" si="2"/>
        <v>7.18</v>
      </c>
      <c r="T69" s="10">
        <f t="shared" si="2"/>
        <v>14.9</v>
      </c>
      <c r="U69" s="10">
        <f t="shared" si="2"/>
        <v>8</v>
      </c>
      <c r="V69" s="11">
        <v>0.11</v>
      </c>
      <c r="W69" s="11">
        <f t="shared" si="2"/>
        <v>0.08</v>
      </c>
      <c r="X69" s="11">
        <f t="shared" si="2"/>
        <v>0.046</v>
      </c>
      <c r="Y69" s="11">
        <f t="shared" si="2"/>
        <v>0.04</v>
      </c>
      <c r="Z69" s="17">
        <v>10</v>
      </c>
    </row>
    <row r="70" spans="1:26" ht="12.75">
      <c r="A70" s="107">
        <v>36320</v>
      </c>
      <c r="B70" s="108">
        <v>0.4166666666666667</v>
      </c>
      <c r="C70" s="109">
        <v>500</v>
      </c>
      <c r="D70" s="110">
        <v>6.81</v>
      </c>
      <c r="E70" s="109">
        <v>201</v>
      </c>
      <c r="F70" s="110">
        <v>7.18</v>
      </c>
      <c r="G70" s="110">
        <v>14.9</v>
      </c>
      <c r="H70" s="112">
        <v>8</v>
      </c>
      <c r="I70" s="114">
        <v>0.08</v>
      </c>
      <c r="J70" s="114">
        <v>0.08</v>
      </c>
      <c r="K70" s="114">
        <v>0.046</v>
      </c>
      <c r="L70" s="114">
        <v>0.04</v>
      </c>
      <c r="M70" s="116">
        <v>18</v>
      </c>
      <c r="O70" s="10" t="s">
        <v>5</v>
      </c>
      <c r="P70" s="17">
        <f>AVERAGE(C71:C73)</f>
        <v>433.3333333333333</v>
      </c>
      <c r="Q70" s="17">
        <f aca="true" t="shared" si="3" ref="Q70:Y70">AVERAGE(D71:D73)</f>
        <v>7.656666666666666</v>
      </c>
      <c r="R70" s="17">
        <f t="shared" si="3"/>
        <v>219.66666666666666</v>
      </c>
      <c r="S70" s="17">
        <f t="shared" si="3"/>
        <v>7.77</v>
      </c>
      <c r="T70" s="17">
        <f t="shared" si="3"/>
        <v>18.966666666666665</v>
      </c>
      <c r="U70" s="17">
        <f t="shared" si="3"/>
        <v>1</v>
      </c>
      <c r="V70" s="11">
        <v>0.08</v>
      </c>
      <c r="W70" s="11">
        <f t="shared" si="3"/>
        <v>0.09000000000000001</v>
      </c>
      <c r="X70" s="11">
        <f t="shared" si="3"/>
        <v>0.013666666666666667</v>
      </c>
      <c r="Y70" s="11">
        <f t="shared" si="3"/>
        <v>0.016666666666666666</v>
      </c>
      <c r="Z70" s="17">
        <v>10.2</v>
      </c>
    </row>
    <row r="71" spans="1:26" ht="12.75">
      <c r="A71" s="107">
        <v>36348</v>
      </c>
      <c r="B71" s="108">
        <v>0.34722222222222227</v>
      </c>
      <c r="C71" s="109">
        <v>460</v>
      </c>
      <c r="D71" s="110">
        <v>7.74</v>
      </c>
      <c r="E71" s="109">
        <v>217</v>
      </c>
      <c r="F71" s="110">
        <v>8.59</v>
      </c>
      <c r="G71" s="110">
        <v>18.4</v>
      </c>
      <c r="H71" s="112">
        <v>1</v>
      </c>
      <c r="I71" s="114">
        <v>0.04</v>
      </c>
      <c r="J71" s="114">
        <v>0.11</v>
      </c>
      <c r="K71" s="114">
        <v>0.005</v>
      </c>
      <c r="L71" s="114">
        <v>0.02</v>
      </c>
      <c r="M71" s="116">
        <v>20</v>
      </c>
      <c r="O71" s="10" t="s">
        <v>6</v>
      </c>
      <c r="P71" s="17">
        <f>AVERAGE(C74:C75)</f>
        <v>295</v>
      </c>
      <c r="Q71" s="17">
        <f aca="true" t="shared" si="4" ref="Q71:Y71">AVERAGE(D74:D75)</f>
        <v>7.415</v>
      </c>
      <c r="R71" s="17">
        <f t="shared" si="4"/>
        <v>209</v>
      </c>
      <c r="S71" s="17">
        <f t="shared" si="4"/>
        <v>7.105</v>
      </c>
      <c r="T71" s="17">
        <f t="shared" si="4"/>
        <v>18.5</v>
      </c>
      <c r="U71" s="17">
        <f t="shared" si="4"/>
        <v>5</v>
      </c>
      <c r="V71" s="11">
        <v>0.11</v>
      </c>
      <c r="W71" s="11">
        <f t="shared" si="4"/>
        <v>0.05</v>
      </c>
      <c r="X71" s="11">
        <f t="shared" si="4"/>
        <v>0.017</v>
      </c>
      <c r="Y71" s="11">
        <f t="shared" si="4"/>
        <v>0.015</v>
      </c>
      <c r="Z71" s="17">
        <v>12</v>
      </c>
    </row>
    <row r="72" spans="1:26" ht="12.75">
      <c r="A72" s="107">
        <v>36348</v>
      </c>
      <c r="B72" s="109">
        <v>9999</v>
      </c>
      <c r="C72" s="109">
        <v>460</v>
      </c>
      <c r="D72" s="110">
        <v>7.74</v>
      </c>
      <c r="E72" s="109">
        <v>217</v>
      </c>
      <c r="F72" s="110">
        <v>8.59</v>
      </c>
      <c r="G72" s="110">
        <v>18.4</v>
      </c>
      <c r="H72" s="112">
        <v>1</v>
      </c>
      <c r="I72" s="114">
        <v>0.04</v>
      </c>
      <c r="J72" s="114">
        <v>0.11</v>
      </c>
      <c r="K72" s="114">
        <v>0.005</v>
      </c>
      <c r="L72" s="114">
        <v>0.02</v>
      </c>
      <c r="M72" s="116">
        <v>6</v>
      </c>
      <c r="O72" s="10" t="s">
        <v>7</v>
      </c>
      <c r="P72" s="17">
        <f>AVERAGE(C76:C77)</f>
        <v>42</v>
      </c>
      <c r="Q72" s="17">
        <f aca="true" t="shared" si="5" ref="Q72:Y72">AVERAGE(D76:D77)</f>
        <v>7.4</v>
      </c>
      <c r="R72" s="17">
        <f t="shared" si="5"/>
        <v>218.5</v>
      </c>
      <c r="S72" s="17">
        <f t="shared" si="5"/>
        <v>7.255</v>
      </c>
      <c r="T72" s="17">
        <f t="shared" si="5"/>
        <v>17.35</v>
      </c>
      <c r="U72" s="17">
        <f t="shared" si="5"/>
        <v>9</v>
      </c>
      <c r="V72" s="11">
        <v>0.05</v>
      </c>
      <c r="W72" s="11">
        <f t="shared" si="5"/>
        <v>0.05</v>
      </c>
      <c r="X72" s="11">
        <f t="shared" si="5"/>
        <v>0.011</v>
      </c>
      <c r="Y72" s="11">
        <f t="shared" si="5"/>
        <v>0.025</v>
      </c>
      <c r="Z72" s="17">
        <v>12</v>
      </c>
    </row>
    <row r="73" spans="1:26" ht="12.75">
      <c r="A73" s="107">
        <v>36362</v>
      </c>
      <c r="B73" s="108">
        <v>0.3541666666666667</v>
      </c>
      <c r="C73" s="109">
        <v>380</v>
      </c>
      <c r="D73" s="110">
        <v>7.49</v>
      </c>
      <c r="E73" s="109">
        <v>225</v>
      </c>
      <c r="F73" s="110">
        <v>6.13</v>
      </c>
      <c r="G73" s="110">
        <v>20.1</v>
      </c>
      <c r="H73" s="112"/>
      <c r="I73" s="114">
        <v>0.04</v>
      </c>
      <c r="J73" s="114">
        <v>0.05</v>
      </c>
      <c r="K73" s="114">
        <v>0.031</v>
      </c>
      <c r="L73" s="114">
        <v>0.01</v>
      </c>
      <c r="M73" s="116">
        <v>14</v>
      </c>
      <c r="O73" s="10" t="s">
        <v>8</v>
      </c>
      <c r="P73" s="10">
        <f>C78</f>
        <v>7.8</v>
      </c>
      <c r="Q73" s="10">
        <f aca="true" t="shared" si="6" ref="Q73:Y73">D78</f>
        <v>7.18</v>
      </c>
      <c r="R73" s="10">
        <f t="shared" si="6"/>
        <v>246</v>
      </c>
      <c r="S73" s="10">
        <f t="shared" si="6"/>
        <v>7.29</v>
      </c>
      <c r="T73" s="10">
        <f t="shared" si="6"/>
        <v>11.1</v>
      </c>
      <c r="U73" s="10">
        <f t="shared" si="6"/>
        <v>16</v>
      </c>
      <c r="V73" s="11">
        <v>0.04</v>
      </c>
      <c r="W73" s="11">
        <f t="shared" si="6"/>
        <v>0.05</v>
      </c>
      <c r="X73" s="11">
        <f t="shared" si="6"/>
        <v>0.017</v>
      </c>
      <c r="Y73" s="11">
        <f t="shared" si="6"/>
        <v>0.03</v>
      </c>
      <c r="Z73" s="17">
        <v>8</v>
      </c>
    </row>
    <row r="74" spans="1:26" ht="12.75">
      <c r="A74" s="107">
        <v>36376</v>
      </c>
      <c r="B74" s="108">
        <v>0.34027777777777773</v>
      </c>
      <c r="C74" s="109">
        <v>100</v>
      </c>
      <c r="D74" s="110">
        <v>7.58</v>
      </c>
      <c r="E74" s="109">
        <v>204</v>
      </c>
      <c r="F74" s="110">
        <v>7.61</v>
      </c>
      <c r="G74" s="110">
        <v>18.4</v>
      </c>
      <c r="H74" s="112">
        <v>5</v>
      </c>
      <c r="I74" s="114">
        <v>0.07</v>
      </c>
      <c r="J74" s="114">
        <v>0.05</v>
      </c>
      <c r="K74" s="114">
        <v>0.029</v>
      </c>
      <c r="L74" s="114">
        <v>0.02</v>
      </c>
      <c r="M74" s="116">
        <v>10</v>
      </c>
      <c r="O74" s="10" t="s">
        <v>9</v>
      </c>
      <c r="P74" s="10">
        <f>C79</f>
        <v>54</v>
      </c>
      <c r="Q74" s="10">
        <f aca="true" t="shared" si="7" ref="Q74:Y74">D79</f>
        <v>6.23</v>
      </c>
      <c r="R74" s="10">
        <f t="shared" si="7"/>
        <v>264</v>
      </c>
      <c r="S74" s="10">
        <f t="shared" si="7"/>
        <v>8.97</v>
      </c>
      <c r="T74" s="10">
        <f t="shared" si="7"/>
        <v>8.6</v>
      </c>
      <c r="U74" s="10">
        <f t="shared" si="7"/>
        <v>1</v>
      </c>
      <c r="V74" s="11">
        <v>0.11</v>
      </c>
      <c r="W74" s="11">
        <f t="shared" si="7"/>
        <v>0.05</v>
      </c>
      <c r="X74" s="11">
        <f t="shared" si="7"/>
        <v>0.005</v>
      </c>
      <c r="Y74" s="11">
        <f t="shared" si="7"/>
        <v>0.03</v>
      </c>
      <c r="Z74" s="17">
        <v>2.5</v>
      </c>
    </row>
    <row r="75" spans="1:26" ht="12.75">
      <c r="A75" s="107">
        <v>36390</v>
      </c>
      <c r="B75" s="108">
        <v>0.3333333333333333</v>
      </c>
      <c r="C75" s="109">
        <v>490</v>
      </c>
      <c r="D75" s="110">
        <v>7.25</v>
      </c>
      <c r="E75" s="109">
        <v>214</v>
      </c>
      <c r="F75" s="110">
        <v>6.6</v>
      </c>
      <c r="G75" s="110">
        <v>18.6</v>
      </c>
      <c r="H75" s="112"/>
      <c r="I75" s="114">
        <v>0.02</v>
      </c>
      <c r="J75" s="114">
        <v>0.05</v>
      </c>
      <c r="K75" s="114">
        <v>0.005</v>
      </c>
      <c r="L75" s="114">
        <v>0.01</v>
      </c>
      <c r="M75" s="116">
        <v>5</v>
      </c>
      <c r="O75" s="10" t="s">
        <v>10</v>
      </c>
      <c r="P75" s="10">
        <f>C80</f>
        <v>39</v>
      </c>
      <c r="Q75" s="10">
        <f aca="true" t="shared" si="8" ref="Q75:Y75">D80</f>
        <v>5.71</v>
      </c>
      <c r="R75" s="10">
        <f t="shared" si="8"/>
        <v>284</v>
      </c>
      <c r="S75" s="10">
        <f t="shared" si="8"/>
        <v>11.7</v>
      </c>
      <c r="T75" s="10">
        <f t="shared" si="8"/>
        <v>1.2</v>
      </c>
      <c r="U75" s="10">
        <f t="shared" si="8"/>
        <v>1</v>
      </c>
      <c r="V75" s="11">
        <v>0.02</v>
      </c>
      <c r="W75" s="11">
        <f t="shared" si="8"/>
        <v>0.05</v>
      </c>
      <c r="X75" s="11">
        <f t="shared" si="8"/>
        <v>0.007</v>
      </c>
      <c r="Y75" s="11">
        <f t="shared" si="8"/>
        <v>0.03</v>
      </c>
      <c r="Z75" s="17">
        <v>6</v>
      </c>
    </row>
    <row r="76" spans="1:26" ht="12.75">
      <c r="A76" s="107">
        <v>36404</v>
      </c>
      <c r="B76" s="108">
        <v>0.3333333333333333</v>
      </c>
      <c r="C76" s="109">
        <v>48</v>
      </c>
      <c r="D76" s="110">
        <v>7.45</v>
      </c>
      <c r="E76" s="109">
        <v>207</v>
      </c>
      <c r="F76" s="110">
        <v>7.7</v>
      </c>
      <c r="G76" s="110">
        <v>18.1</v>
      </c>
      <c r="H76" s="112">
        <v>9</v>
      </c>
      <c r="I76" s="114">
        <v>0.08</v>
      </c>
      <c r="J76" s="114">
        <v>0.05</v>
      </c>
      <c r="K76" s="114">
        <v>0.011</v>
      </c>
      <c r="L76" s="114">
        <v>0.01</v>
      </c>
      <c r="M76" s="116">
        <v>10</v>
      </c>
      <c r="O76" s="10" t="s">
        <v>170</v>
      </c>
      <c r="P76" s="17">
        <f>AVERAGE(P65:P75)</f>
        <v>146.33939393939394</v>
      </c>
      <c r="Q76" s="13">
        <f aca="true" t="shared" si="9" ref="Q76:Z76">AVERAGE(Q65:Q75)</f>
        <v>7.149242424242424</v>
      </c>
      <c r="R76" s="17">
        <f t="shared" si="9"/>
        <v>259.92424242424244</v>
      </c>
      <c r="S76" s="159">
        <f t="shared" si="9"/>
        <v>9.587272727272728</v>
      </c>
      <c r="T76" s="159">
        <f t="shared" si="9"/>
        <v>10.428787878787878</v>
      </c>
      <c r="U76" s="10">
        <f t="shared" si="9"/>
        <v>6</v>
      </c>
      <c r="V76" s="11">
        <f t="shared" si="9"/>
        <v>0.1109090909090909</v>
      </c>
      <c r="W76" s="11">
        <f t="shared" si="9"/>
        <v>0.058181818181818196</v>
      </c>
      <c r="X76" s="11">
        <f t="shared" si="9"/>
        <v>0.022242424242424244</v>
      </c>
      <c r="Y76" s="11">
        <f t="shared" si="9"/>
        <v>0.026969696969696966</v>
      </c>
      <c r="Z76" s="17">
        <f t="shared" si="9"/>
        <v>6.745454545454546</v>
      </c>
    </row>
    <row r="77" spans="1:13" ht="12.75">
      <c r="A77" s="107">
        <v>36418</v>
      </c>
      <c r="B77" s="108">
        <v>0.3645833333333333</v>
      </c>
      <c r="C77" s="109">
        <v>36</v>
      </c>
      <c r="D77" s="110">
        <v>7.35</v>
      </c>
      <c r="E77" s="109">
        <v>230</v>
      </c>
      <c r="F77" s="110">
        <v>6.81</v>
      </c>
      <c r="G77" s="110">
        <v>16.6</v>
      </c>
      <c r="H77" s="112"/>
      <c r="I77" s="114">
        <v>0.03</v>
      </c>
      <c r="J77" s="114">
        <v>0.05</v>
      </c>
      <c r="K77" s="114">
        <v>0.011</v>
      </c>
      <c r="L77" s="114">
        <v>0.04</v>
      </c>
      <c r="M77" s="116">
        <v>10</v>
      </c>
    </row>
    <row r="78" spans="1:13" ht="12.75">
      <c r="A78" s="107">
        <v>36446</v>
      </c>
      <c r="B78" s="108">
        <v>0.3611111111111111</v>
      </c>
      <c r="C78" s="109">
        <v>7.8</v>
      </c>
      <c r="D78" s="110">
        <v>7.18</v>
      </c>
      <c r="E78" s="109">
        <v>246</v>
      </c>
      <c r="F78" s="110">
        <v>7.29</v>
      </c>
      <c r="G78" s="110">
        <v>11.1</v>
      </c>
      <c r="H78" s="112">
        <v>16</v>
      </c>
      <c r="I78" s="114">
        <v>0.02</v>
      </c>
      <c r="J78" s="114">
        <v>0.05</v>
      </c>
      <c r="K78" s="114">
        <v>0.017</v>
      </c>
      <c r="L78" s="114">
        <v>0.03</v>
      </c>
      <c r="M78" s="116">
        <v>24</v>
      </c>
    </row>
    <row r="79" spans="1:13" ht="12.75">
      <c r="A79" s="107">
        <v>36474</v>
      </c>
      <c r="B79" s="108">
        <v>0.375</v>
      </c>
      <c r="C79" s="109">
        <v>54</v>
      </c>
      <c r="D79" s="110">
        <v>6.23</v>
      </c>
      <c r="E79" s="109">
        <v>264</v>
      </c>
      <c r="F79" s="110">
        <v>8.97</v>
      </c>
      <c r="G79" s="110">
        <v>8.6</v>
      </c>
      <c r="H79" s="112">
        <v>1</v>
      </c>
      <c r="I79" s="114">
        <v>0.08</v>
      </c>
      <c r="J79" s="114">
        <v>0.05</v>
      </c>
      <c r="K79" s="114">
        <v>0.005</v>
      </c>
      <c r="L79" s="114">
        <v>0.03</v>
      </c>
      <c r="M79" s="116">
        <v>5</v>
      </c>
    </row>
    <row r="80" spans="1:13" ht="12.75">
      <c r="A80" s="107">
        <v>36509</v>
      </c>
      <c r="B80" s="108">
        <v>0.375</v>
      </c>
      <c r="C80" s="109">
        <v>39</v>
      </c>
      <c r="D80" s="110">
        <v>5.71</v>
      </c>
      <c r="E80" s="109">
        <v>284</v>
      </c>
      <c r="F80" s="110">
        <v>11.7</v>
      </c>
      <c r="G80" s="110">
        <v>1.2</v>
      </c>
      <c r="H80" s="112">
        <v>1</v>
      </c>
      <c r="I80" s="114">
        <v>0.13</v>
      </c>
      <c r="J80" s="114">
        <v>0.05</v>
      </c>
      <c r="K80" s="114">
        <v>0.007</v>
      </c>
      <c r="L80" s="114">
        <v>0.03</v>
      </c>
      <c r="M80" s="116">
        <v>5</v>
      </c>
    </row>
    <row r="81" spans="1:13" ht="12.75">
      <c r="A81" s="107" t="s">
        <v>144</v>
      </c>
      <c r="B81" s="108"/>
      <c r="C81" s="116">
        <f>AVERAGE(C64:C80)</f>
        <v>170.5529411764706</v>
      </c>
      <c r="D81" s="110">
        <f aca="true" t="shared" si="10" ref="D81:M81">AVERAGE(D64:D80)</f>
        <v>7.230588235294117</v>
      </c>
      <c r="E81" s="116">
        <f t="shared" si="10"/>
        <v>256.52941176470586</v>
      </c>
      <c r="F81" s="110">
        <f t="shared" si="10"/>
        <v>9.515882352941176</v>
      </c>
      <c r="G81" s="110">
        <f t="shared" si="10"/>
        <v>11.788235294117644</v>
      </c>
      <c r="H81" s="116">
        <f t="shared" si="10"/>
        <v>4.928571428571429</v>
      </c>
      <c r="I81" s="114">
        <f t="shared" si="10"/>
        <v>0.06705882352941177</v>
      </c>
      <c r="J81" s="114">
        <f t="shared" si="10"/>
        <v>0.06000000000000001</v>
      </c>
      <c r="K81" s="114">
        <f t="shared" si="10"/>
        <v>0.01823529411764706</v>
      </c>
      <c r="L81" s="114">
        <f t="shared" si="10"/>
        <v>0.022941176470588236</v>
      </c>
      <c r="M81" s="116">
        <f t="shared" si="10"/>
        <v>12.705882352941176</v>
      </c>
    </row>
    <row r="82" spans="1:14" ht="12.75">
      <c r="A82" s="107"/>
      <c r="B82" s="108"/>
      <c r="C82" s="109"/>
      <c r="D82" s="110"/>
      <c r="E82" s="109"/>
      <c r="F82" s="110"/>
      <c r="G82" s="110"/>
      <c r="H82" s="111"/>
      <c r="I82" s="112"/>
      <c r="J82" s="113"/>
      <c r="K82" s="112"/>
      <c r="L82" s="112"/>
      <c r="M82" s="114"/>
      <c r="N82" s="112"/>
    </row>
    <row r="83" spans="1:26" ht="12.75">
      <c r="A83" s="34" t="s">
        <v>143</v>
      </c>
      <c r="B83" s="34"/>
      <c r="C83" s="38" t="s">
        <v>138</v>
      </c>
      <c r="D83" s="39" t="s">
        <v>139</v>
      </c>
      <c r="E83" s="38" t="s">
        <v>132</v>
      </c>
      <c r="F83" s="39" t="s">
        <v>133</v>
      </c>
      <c r="G83" s="39" t="s">
        <v>142</v>
      </c>
      <c r="H83" s="37" t="s">
        <v>135</v>
      </c>
      <c r="I83" s="37" t="s">
        <v>140</v>
      </c>
      <c r="J83" s="37" t="s">
        <v>141</v>
      </c>
      <c r="K83" s="37" t="s">
        <v>137</v>
      </c>
      <c r="L83" s="37" t="s">
        <v>37</v>
      </c>
      <c r="M83" s="37" t="s">
        <v>136</v>
      </c>
      <c r="N83" s="75"/>
      <c r="O83" s="34" t="s">
        <v>143</v>
      </c>
      <c r="P83" s="38" t="s">
        <v>138</v>
      </c>
      <c r="Q83" s="39" t="s">
        <v>139</v>
      </c>
      <c r="R83" s="38" t="s">
        <v>132</v>
      </c>
      <c r="S83" s="39" t="s">
        <v>133</v>
      </c>
      <c r="T83" s="39" t="s">
        <v>142</v>
      </c>
      <c r="U83" s="37" t="s">
        <v>135</v>
      </c>
      <c r="V83" s="37" t="s">
        <v>140</v>
      </c>
      <c r="W83" s="37" t="s">
        <v>141</v>
      </c>
      <c r="X83" s="37" t="s">
        <v>137</v>
      </c>
      <c r="Y83" s="37" t="s">
        <v>37</v>
      </c>
      <c r="Z83" s="37" t="s">
        <v>136</v>
      </c>
    </row>
    <row r="84" spans="1:26" ht="12.75">
      <c r="A84" s="41" t="s">
        <v>105</v>
      </c>
      <c r="B84" s="41" t="s">
        <v>114</v>
      </c>
      <c r="C84" s="43" t="s">
        <v>113</v>
      </c>
      <c r="D84" s="42" t="s">
        <v>111</v>
      </c>
      <c r="E84" s="43" t="s">
        <v>107</v>
      </c>
      <c r="F84" s="42" t="s">
        <v>38</v>
      </c>
      <c r="G84" s="42" t="s">
        <v>39</v>
      </c>
      <c r="H84" s="41" t="s">
        <v>40</v>
      </c>
      <c r="I84" s="41" t="s">
        <v>41</v>
      </c>
      <c r="J84" s="41" t="s">
        <v>38</v>
      </c>
      <c r="K84" s="44" t="s">
        <v>42</v>
      </c>
      <c r="L84" s="41" t="s">
        <v>42</v>
      </c>
      <c r="M84" s="41" t="s">
        <v>109</v>
      </c>
      <c r="N84" s="71"/>
      <c r="O84" s="41" t="s">
        <v>105</v>
      </c>
      <c r="P84" s="43" t="s">
        <v>113</v>
      </c>
      <c r="Q84" s="42" t="s">
        <v>111</v>
      </c>
      <c r="R84" s="43" t="s">
        <v>107</v>
      </c>
      <c r="S84" s="42" t="s">
        <v>38</v>
      </c>
      <c r="T84" s="42" t="s">
        <v>39</v>
      </c>
      <c r="U84" s="41" t="s">
        <v>40</v>
      </c>
      <c r="V84" s="41" t="s">
        <v>41</v>
      </c>
      <c r="W84" s="41" t="s">
        <v>38</v>
      </c>
      <c r="X84" s="44" t="s">
        <v>42</v>
      </c>
      <c r="Y84" s="41" t="s">
        <v>42</v>
      </c>
      <c r="Z84" s="41" t="s">
        <v>109</v>
      </c>
    </row>
    <row r="85" spans="1:26" ht="12.75">
      <c r="A85" s="107">
        <v>36209</v>
      </c>
      <c r="B85" s="108">
        <v>0.34722222222222227</v>
      </c>
      <c r="C85" s="109">
        <v>50</v>
      </c>
      <c r="D85" s="110">
        <v>7.17</v>
      </c>
      <c r="E85" s="109">
        <v>386</v>
      </c>
      <c r="F85" s="110">
        <v>10.12</v>
      </c>
      <c r="G85" s="110">
        <v>1</v>
      </c>
      <c r="H85" s="112">
        <v>13</v>
      </c>
      <c r="I85" s="113">
        <v>0.25</v>
      </c>
      <c r="J85" s="112">
        <v>0.05</v>
      </c>
      <c r="K85" s="114">
        <v>0.005</v>
      </c>
      <c r="L85" s="112">
        <v>0.12</v>
      </c>
      <c r="M85" s="112">
        <v>70</v>
      </c>
      <c r="N85" s="75"/>
      <c r="O85" s="34" t="s">
        <v>0</v>
      </c>
      <c r="P85" s="10">
        <f>C85</f>
        <v>50</v>
      </c>
      <c r="Q85" s="10">
        <f aca="true" t="shared" si="11" ref="Q85:X85">D85</f>
        <v>7.17</v>
      </c>
      <c r="R85" s="10">
        <f t="shared" si="11"/>
        <v>386</v>
      </c>
      <c r="S85" s="10">
        <f t="shared" si="11"/>
        <v>10.12</v>
      </c>
      <c r="T85" s="10">
        <f t="shared" si="11"/>
        <v>1</v>
      </c>
      <c r="U85" s="10">
        <f t="shared" si="11"/>
        <v>13</v>
      </c>
      <c r="V85" s="11">
        <v>0.36</v>
      </c>
      <c r="W85" s="11">
        <f t="shared" si="11"/>
        <v>0.05</v>
      </c>
      <c r="X85" s="11">
        <f t="shared" si="11"/>
        <v>0.005</v>
      </c>
      <c r="Y85" s="11">
        <v>0.01</v>
      </c>
      <c r="Z85" s="17">
        <v>2.5</v>
      </c>
    </row>
    <row r="86" spans="1:26" ht="12.75">
      <c r="A86" s="107">
        <v>36229</v>
      </c>
      <c r="B86" s="108">
        <v>0.2986111111111111</v>
      </c>
      <c r="C86" s="109">
        <v>45.7</v>
      </c>
      <c r="D86" s="110">
        <v>6.39</v>
      </c>
      <c r="E86" s="109">
        <v>271</v>
      </c>
      <c r="F86" s="110">
        <v>13.35</v>
      </c>
      <c r="G86" s="110">
        <v>2.2</v>
      </c>
      <c r="H86" s="112">
        <v>1</v>
      </c>
      <c r="I86" s="113">
        <v>0.13</v>
      </c>
      <c r="J86" s="112">
        <v>0.05</v>
      </c>
      <c r="K86" s="114">
        <v>0.005</v>
      </c>
      <c r="L86" s="112">
        <v>0.01</v>
      </c>
      <c r="M86" s="112">
        <v>5</v>
      </c>
      <c r="N86" s="75"/>
      <c r="O86" s="34" t="s">
        <v>1</v>
      </c>
      <c r="P86" s="10">
        <f>AVERAGE(C86:C87)</f>
        <v>39.95</v>
      </c>
      <c r="Q86" s="10">
        <f aca="true" t="shared" si="12" ref="Q86:X86">AVERAGE(D86:D87)</f>
        <v>6.265</v>
      </c>
      <c r="R86" s="10">
        <f t="shared" si="12"/>
        <v>314</v>
      </c>
      <c r="S86" s="10">
        <f t="shared" si="12"/>
        <v>12.719999999999999</v>
      </c>
      <c r="T86" s="10">
        <f t="shared" si="12"/>
        <v>4.2</v>
      </c>
      <c r="U86" s="10">
        <f t="shared" si="12"/>
        <v>1</v>
      </c>
      <c r="V86" s="11">
        <v>0.12</v>
      </c>
      <c r="W86" s="11">
        <f t="shared" si="12"/>
        <v>0.07</v>
      </c>
      <c r="X86" s="11">
        <f t="shared" si="12"/>
        <v>0.005</v>
      </c>
      <c r="Y86" s="11">
        <v>0.01</v>
      </c>
      <c r="Z86" s="10">
        <v>2.5</v>
      </c>
    </row>
    <row r="87" spans="1:26" ht="12.75">
      <c r="A87" s="107">
        <v>36243</v>
      </c>
      <c r="B87" s="108">
        <v>0.34375</v>
      </c>
      <c r="C87" s="109">
        <v>34.2</v>
      </c>
      <c r="D87" s="110">
        <v>6.14</v>
      </c>
      <c r="E87" s="109">
        <v>357</v>
      </c>
      <c r="F87" s="110">
        <v>12.09</v>
      </c>
      <c r="G87" s="110">
        <v>6.2</v>
      </c>
      <c r="H87" s="112">
        <v>1</v>
      </c>
      <c r="I87" s="113">
        <v>0.15</v>
      </c>
      <c r="J87" s="112">
        <v>0.09</v>
      </c>
      <c r="K87" s="114">
        <v>0.005</v>
      </c>
      <c r="L87" s="112">
        <v>0.01</v>
      </c>
      <c r="M87" s="112">
        <v>5</v>
      </c>
      <c r="N87" s="75"/>
      <c r="O87" s="34" t="s">
        <v>2</v>
      </c>
      <c r="P87" s="10">
        <f>C88</f>
        <v>41.6</v>
      </c>
      <c r="Q87" s="10">
        <f aca="true" t="shared" si="13" ref="Q87:X89">D88</f>
        <v>6.2</v>
      </c>
      <c r="R87" s="10">
        <f t="shared" si="13"/>
        <v>267</v>
      </c>
      <c r="S87" s="10">
        <f t="shared" si="13"/>
        <v>13.02</v>
      </c>
      <c r="T87" s="10">
        <f t="shared" si="13"/>
        <v>1.3</v>
      </c>
      <c r="U87" s="10">
        <f t="shared" si="13"/>
        <v>2</v>
      </c>
      <c r="V87" s="11">
        <v>0.15</v>
      </c>
      <c r="W87" s="11">
        <f t="shared" si="13"/>
        <v>0.05</v>
      </c>
      <c r="X87" s="11">
        <f t="shared" si="13"/>
        <v>0.005</v>
      </c>
      <c r="Y87" s="11">
        <v>0.02</v>
      </c>
      <c r="Z87" s="17">
        <v>12</v>
      </c>
    </row>
    <row r="88" spans="1:26" ht="12.75">
      <c r="A88" s="107">
        <v>36265</v>
      </c>
      <c r="B88" s="108">
        <v>0.2916666666666667</v>
      </c>
      <c r="C88" s="109">
        <v>41.6</v>
      </c>
      <c r="D88" s="110">
        <v>6.2</v>
      </c>
      <c r="E88" s="109">
        <v>267</v>
      </c>
      <c r="F88" s="110">
        <v>13.02</v>
      </c>
      <c r="G88" s="110">
        <v>1.3</v>
      </c>
      <c r="H88" s="112">
        <v>2</v>
      </c>
      <c r="I88" s="113">
        <v>0.21</v>
      </c>
      <c r="J88" s="112">
        <v>0.05</v>
      </c>
      <c r="K88" s="114">
        <v>0.005</v>
      </c>
      <c r="L88" s="112">
        <v>0.01</v>
      </c>
      <c r="M88" s="112">
        <v>22</v>
      </c>
      <c r="N88" s="71"/>
      <c r="O88" s="34" t="s">
        <v>3</v>
      </c>
      <c r="P88" s="10">
        <f>C89</f>
        <v>130</v>
      </c>
      <c r="Q88" s="10">
        <f t="shared" si="13"/>
        <v>7.01</v>
      </c>
      <c r="R88" s="10">
        <f t="shared" si="13"/>
        <v>154</v>
      </c>
      <c r="S88" s="10">
        <f t="shared" si="13"/>
        <v>15.28</v>
      </c>
      <c r="T88" s="10">
        <f t="shared" si="13"/>
        <v>9.9</v>
      </c>
      <c r="U88" s="10">
        <f t="shared" si="13"/>
        <v>6</v>
      </c>
      <c r="V88" s="11">
        <v>0.07</v>
      </c>
      <c r="W88" s="11">
        <f t="shared" si="13"/>
        <v>0.05</v>
      </c>
      <c r="X88" s="11">
        <f t="shared" si="13"/>
        <v>0.01</v>
      </c>
      <c r="Y88" s="11">
        <v>0.05</v>
      </c>
      <c r="Z88" s="17">
        <v>2.5</v>
      </c>
    </row>
    <row r="89" spans="1:26" ht="12.75">
      <c r="A89" s="107">
        <v>36299</v>
      </c>
      <c r="B89" s="108">
        <v>0.3541666666666667</v>
      </c>
      <c r="C89" s="109">
        <v>130</v>
      </c>
      <c r="D89" s="110">
        <v>7.01</v>
      </c>
      <c r="E89" s="109">
        <v>154</v>
      </c>
      <c r="F89" s="110">
        <v>15.28</v>
      </c>
      <c r="G89" s="110">
        <v>9.9</v>
      </c>
      <c r="H89" s="112">
        <v>6</v>
      </c>
      <c r="I89" s="113">
        <v>0.08</v>
      </c>
      <c r="J89" s="112">
        <v>0.05</v>
      </c>
      <c r="K89" s="114">
        <v>0.01</v>
      </c>
      <c r="L89" s="112">
        <v>0.02</v>
      </c>
      <c r="M89" s="112">
        <v>18</v>
      </c>
      <c r="N89" s="68"/>
      <c r="O89" s="34" t="s">
        <v>4</v>
      </c>
      <c r="P89" s="17">
        <f>C90</f>
        <v>802</v>
      </c>
      <c r="Q89" s="17">
        <f t="shared" si="13"/>
        <v>5.18</v>
      </c>
      <c r="R89" s="17">
        <f t="shared" si="13"/>
        <v>218</v>
      </c>
      <c r="S89" s="17">
        <f t="shared" si="13"/>
        <v>9.39</v>
      </c>
      <c r="T89" s="17">
        <f t="shared" si="13"/>
        <v>10.7</v>
      </c>
      <c r="U89" s="17">
        <f t="shared" si="13"/>
        <v>29</v>
      </c>
      <c r="V89" s="11">
        <v>0.11</v>
      </c>
      <c r="W89" s="11">
        <f t="shared" si="13"/>
        <v>0.06</v>
      </c>
      <c r="X89" s="11">
        <f t="shared" si="13"/>
        <v>0.005</v>
      </c>
      <c r="Y89" s="11">
        <v>0.01</v>
      </c>
      <c r="Z89" s="17">
        <v>2.5</v>
      </c>
    </row>
    <row r="90" spans="1:26" ht="12.75">
      <c r="A90" s="107">
        <v>36320</v>
      </c>
      <c r="B90" s="108">
        <v>0.375</v>
      </c>
      <c r="C90" s="109">
        <v>802</v>
      </c>
      <c r="D90" s="110">
        <v>5.18</v>
      </c>
      <c r="E90" s="109">
        <v>218</v>
      </c>
      <c r="F90" s="110">
        <v>9.39</v>
      </c>
      <c r="G90" s="110">
        <v>10.7</v>
      </c>
      <c r="H90" s="112">
        <v>29</v>
      </c>
      <c r="I90" s="113">
        <v>0.07</v>
      </c>
      <c r="J90" s="112">
        <v>0.06</v>
      </c>
      <c r="K90" s="114">
        <v>0.005</v>
      </c>
      <c r="L90" s="112">
        <v>0.02</v>
      </c>
      <c r="M90" s="112">
        <v>5</v>
      </c>
      <c r="N90" s="68"/>
      <c r="O90" s="34" t="s">
        <v>5</v>
      </c>
      <c r="P90" s="17">
        <f>AVERAGE(C92:C93)</f>
        <v>485.5</v>
      </c>
      <c r="Q90" s="17">
        <f aca="true" t="shared" si="14" ref="Q90:X90">AVERAGE(D92:D93)</f>
        <v>7.005</v>
      </c>
      <c r="R90" s="17">
        <f t="shared" si="14"/>
        <v>216.5</v>
      </c>
      <c r="S90" s="17">
        <f t="shared" si="14"/>
        <v>8.57</v>
      </c>
      <c r="T90" s="17">
        <f t="shared" si="14"/>
        <v>15.9</v>
      </c>
      <c r="U90" s="17">
        <f t="shared" si="14"/>
        <v>13</v>
      </c>
      <c r="V90" s="11">
        <v>0.08</v>
      </c>
      <c r="W90" s="11">
        <f t="shared" si="14"/>
        <v>0.055</v>
      </c>
      <c r="X90" s="11">
        <f t="shared" si="14"/>
        <v>0.005</v>
      </c>
      <c r="Y90" s="11">
        <v>0.02</v>
      </c>
      <c r="Z90" s="17">
        <v>2.5</v>
      </c>
    </row>
    <row r="91" spans="1:26" ht="12.75">
      <c r="A91" s="107">
        <v>36320</v>
      </c>
      <c r="B91" s="109">
        <v>9999</v>
      </c>
      <c r="C91" s="109">
        <v>802</v>
      </c>
      <c r="D91" s="110">
        <v>5.18</v>
      </c>
      <c r="E91" s="109">
        <v>218</v>
      </c>
      <c r="F91" s="110">
        <v>9.39</v>
      </c>
      <c r="G91" s="110">
        <v>10.7</v>
      </c>
      <c r="H91" s="112">
        <v>24</v>
      </c>
      <c r="I91" s="113">
        <v>0.05</v>
      </c>
      <c r="J91" s="112">
        <v>0.09</v>
      </c>
      <c r="K91" s="114">
        <v>0.012</v>
      </c>
      <c r="L91" s="112">
        <v>0.02</v>
      </c>
      <c r="M91" s="112">
        <v>10</v>
      </c>
      <c r="N91" s="75"/>
      <c r="O91" s="34" t="s">
        <v>6</v>
      </c>
      <c r="P91" s="17">
        <f>AVERAGE(C94:C96)</f>
        <v>550</v>
      </c>
      <c r="Q91" s="17">
        <f aca="true" t="shared" si="15" ref="Q91:X91">AVERAGE(D94:D96)</f>
        <v>6.796666666666667</v>
      </c>
      <c r="R91" s="17">
        <f t="shared" si="15"/>
        <v>176.33333333333334</v>
      </c>
      <c r="S91" s="17">
        <f t="shared" si="15"/>
        <v>8.81</v>
      </c>
      <c r="T91" s="17">
        <f t="shared" si="15"/>
        <v>14.799999999999999</v>
      </c>
      <c r="U91" s="17">
        <f t="shared" si="15"/>
        <v>45.5</v>
      </c>
      <c r="V91" s="11">
        <v>0.11</v>
      </c>
      <c r="W91" s="11">
        <f t="shared" si="15"/>
        <v>0.10666666666666667</v>
      </c>
      <c r="X91" s="11">
        <f t="shared" si="15"/>
        <v>0.018</v>
      </c>
      <c r="Y91" s="11">
        <v>0.06</v>
      </c>
      <c r="Z91" s="17">
        <v>12</v>
      </c>
    </row>
    <row r="92" spans="1:26" ht="12.75">
      <c r="A92" s="107">
        <v>36348</v>
      </c>
      <c r="B92" s="108">
        <v>0.2986111111111111</v>
      </c>
      <c r="C92" s="109">
        <v>448</v>
      </c>
      <c r="D92" s="110">
        <v>6.75</v>
      </c>
      <c r="E92" s="109">
        <v>226</v>
      </c>
      <c r="F92" s="110">
        <v>9.96</v>
      </c>
      <c r="G92" s="110">
        <v>15.7</v>
      </c>
      <c r="H92" s="112">
        <v>13</v>
      </c>
      <c r="I92" s="113">
        <v>0.05</v>
      </c>
      <c r="J92" s="112">
        <v>0.06</v>
      </c>
      <c r="K92" s="114">
        <v>0.005</v>
      </c>
      <c r="L92" s="112">
        <v>0.01</v>
      </c>
      <c r="M92" s="112">
        <v>5</v>
      </c>
      <c r="N92" s="75"/>
      <c r="O92" s="34" t="s">
        <v>7</v>
      </c>
      <c r="P92" s="17">
        <f>AVERAGE(C97:C98)</f>
        <v>67.15</v>
      </c>
      <c r="Q92" s="17">
        <f aca="true" t="shared" si="16" ref="Q92:X92">AVERAGE(D97:D98)</f>
        <v>6.67</v>
      </c>
      <c r="R92" s="17">
        <f t="shared" si="16"/>
        <v>225</v>
      </c>
      <c r="S92" s="17">
        <f t="shared" si="16"/>
        <v>8.03</v>
      </c>
      <c r="T92" s="17">
        <f t="shared" si="16"/>
        <v>13.75</v>
      </c>
      <c r="U92" s="17">
        <f t="shared" si="16"/>
        <v>9</v>
      </c>
      <c r="V92" s="11">
        <v>0.05</v>
      </c>
      <c r="W92" s="11">
        <f t="shared" si="16"/>
        <v>0.05</v>
      </c>
      <c r="X92" s="11">
        <f t="shared" si="16"/>
        <v>0.0125</v>
      </c>
      <c r="Y92" s="11">
        <v>0.01</v>
      </c>
      <c r="Z92" s="17">
        <v>8</v>
      </c>
    </row>
    <row r="93" spans="1:26" ht="12.75">
      <c r="A93" s="107">
        <v>36362</v>
      </c>
      <c r="B93" s="108">
        <v>0.34027777777777773</v>
      </c>
      <c r="C93" s="109">
        <v>523</v>
      </c>
      <c r="D93" s="110">
        <v>7.26</v>
      </c>
      <c r="E93" s="109">
        <v>207</v>
      </c>
      <c r="F93" s="110">
        <v>7.18</v>
      </c>
      <c r="G93" s="110">
        <v>16.1</v>
      </c>
      <c r="H93" s="112"/>
      <c r="I93" s="113">
        <v>0.03</v>
      </c>
      <c r="J93" s="112">
        <v>0.05</v>
      </c>
      <c r="K93" s="117">
        <v>0.005</v>
      </c>
      <c r="L93" s="112">
        <v>0.007</v>
      </c>
      <c r="M93" s="112">
        <v>5</v>
      </c>
      <c r="N93" s="75"/>
      <c r="O93" s="34" t="s">
        <v>8</v>
      </c>
      <c r="P93" s="10">
        <f>C99</f>
        <v>32.4</v>
      </c>
      <c r="Q93" s="10">
        <f aca="true" t="shared" si="17" ref="Q93:Y93">D99</f>
        <v>6.77</v>
      </c>
      <c r="R93" s="10">
        <f t="shared" si="17"/>
        <v>283</v>
      </c>
      <c r="S93" s="10">
        <f t="shared" si="17"/>
        <v>8.5</v>
      </c>
      <c r="T93" s="10">
        <f t="shared" si="17"/>
        <v>8.8</v>
      </c>
      <c r="U93" s="10">
        <f t="shared" si="17"/>
        <v>6</v>
      </c>
      <c r="V93" s="11">
        <v>0.05</v>
      </c>
      <c r="W93" s="11">
        <f t="shared" si="17"/>
        <v>0.07</v>
      </c>
      <c r="X93" s="11">
        <f t="shared" si="17"/>
        <v>0.008</v>
      </c>
      <c r="Y93" s="11">
        <f t="shared" si="17"/>
        <v>0.01</v>
      </c>
      <c r="Z93" s="17">
        <v>2.5</v>
      </c>
    </row>
    <row r="94" spans="1:26" ht="12.75">
      <c r="A94" s="107">
        <v>36376</v>
      </c>
      <c r="B94" s="108">
        <v>0.2916666666666667</v>
      </c>
      <c r="C94" s="109">
        <v>675</v>
      </c>
      <c r="D94" s="110">
        <v>6.75</v>
      </c>
      <c r="E94" s="109">
        <v>159</v>
      </c>
      <c r="F94" s="110">
        <v>9.8</v>
      </c>
      <c r="G94" s="110">
        <v>14.7</v>
      </c>
      <c r="H94" s="112">
        <v>24</v>
      </c>
      <c r="I94" s="113">
        <v>0.14</v>
      </c>
      <c r="J94" s="115">
        <v>0.17</v>
      </c>
      <c r="K94" s="117">
        <v>0.024</v>
      </c>
      <c r="L94" s="115">
        <v>0.03</v>
      </c>
      <c r="M94" s="115">
        <v>10</v>
      </c>
      <c r="N94" s="75"/>
      <c r="O94" s="34" t="s">
        <v>9</v>
      </c>
      <c r="P94" s="10">
        <f>C100</f>
        <v>33</v>
      </c>
      <c r="Q94" s="10">
        <f aca="true" t="shared" si="18" ref="Q94:X94">D100</f>
        <v>6.01</v>
      </c>
      <c r="R94" s="10">
        <f t="shared" si="18"/>
        <v>306</v>
      </c>
      <c r="S94" s="10">
        <f t="shared" si="18"/>
        <v>13.08</v>
      </c>
      <c r="T94" s="10">
        <f t="shared" si="18"/>
        <v>4.7</v>
      </c>
      <c r="U94" s="10">
        <f t="shared" si="18"/>
        <v>110</v>
      </c>
      <c r="V94" s="11">
        <v>0.04</v>
      </c>
      <c r="W94" s="11">
        <f t="shared" si="18"/>
        <v>0.05</v>
      </c>
      <c r="X94" s="11">
        <f t="shared" si="18"/>
        <v>0.005</v>
      </c>
      <c r="Y94" s="11">
        <v>0.02</v>
      </c>
      <c r="Z94" s="17">
        <v>2.5</v>
      </c>
    </row>
    <row r="95" spans="1:26" ht="12.75">
      <c r="A95" s="107">
        <v>36376</v>
      </c>
      <c r="B95" s="109">
        <v>9999</v>
      </c>
      <c r="C95" s="109">
        <v>675</v>
      </c>
      <c r="D95" s="110">
        <v>6.75</v>
      </c>
      <c r="E95" s="109">
        <v>159</v>
      </c>
      <c r="F95" s="110">
        <v>9.8</v>
      </c>
      <c r="G95" s="110">
        <v>14.7</v>
      </c>
      <c r="H95" s="112">
        <v>67</v>
      </c>
      <c r="I95" s="113">
        <v>0.09</v>
      </c>
      <c r="J95" s="115">
        <v>0.1</v>
      </c>
      <c r="K95" s="117">
        <v>0.022</v>
      </c>
      <c r="L95" s="115">
        <v>0.03</v>
      </c>
      <c r="M95" s="115">
        <v>12</v>
      </c>
      <c r="N95" s="71"/>
      <c r="O95" s="34" t="s">
        <v>10</v>
      </c>
      <c r="P95" s="10">
        <f>C101</f>
        <v>56.4</v>
      </c>
      <c r="Q95" s="10">
        <f aca="true" t="shared" si="19" ref="Q95:Y95">D101</f>
        <v>5.79</v>
      </c>
      <c r="R95" s="10">
        <f t="shared" si="19"/>
        <v>291</v>
      </c>
      <c r="S95" s="10">
        <f t="shared" si="19"/>
        <v>11.57</v>
      </c>
      <c r="T95" s="10">
        <f t="shared" si="19"/>
        <v>0.4</v>
      </c>
      <c r="U95" s="10">
        <f t="shared" si="19"/>
        <v>1</v>
      </c>
      <c r="V95" s="11">
        <v>0.11</v>
      </c>
      <c r="W95" s="11">
        <f t="shared" si="19"/>
        <v>0.09</v>
      </c>
      <c r="X95" s="11">
        <f t="shared" si="19"/>
        <v>0.006</v>
      </c>
      <c r="Y95" s="11">
        <f t="shared" si="19"/>
        <v>0.01</v>
      </c>
      <c r="Z95" s="17">
        <v>2.5</v>
      </c>
    </row>
    <row r="96" spans="1:26" ht="12.75">
      <c r="A96" s="107">
        <v>36390</v>
      </c>
      <c r="B96" s="108">
        <v>0.3194444444444445</v>
      </c>
      <c r="C96" s="109">
        <v>300</v>
      </c>
      <c r="D96" s="110">
        <v>6.89</v>
      </c>
      <c r="E96" s="109">
        <v>211</v>
      </c>
      <c r="F96" s="110">
        <v>6.83</v>
      </c>
      <c r="G96" s="110">
        <v>15</v>
      </c>
      <c r="H96" s="112"/>
      <c r="I96" s="118">
        <v>0.04</v>
      </c>
      <c r="J96" s="112">
        <v>0.05</v>
      </c>
      <c r="K96" s="117">
        <v>0.008</v>
      </c>
      <c r="L96" s="112">
        <v>0.01</v>
      </c>
      <c r="M96" s="115">
        <v>8</v>
      </c>
      <c r="N96" s="75"/>
      <c r="O96" s="10" t="s">
        <v>144</v>
      </c>
      <c r="P96" s="17">
        <f aca="true" t="shared" si="20" ref="P96:Z96">AVERAGE(P85:P95)</f>
        <v>208.00000000000003</v>
      </c>
      <c r="Q96" s="13">
        <f t="shared" si="20"/>
        <v>6.442424242424243</v>
      </c>
      <c r="R96" s="17">
        <f t="shared" si="20"/>
        <v>257.8939393939394</v>
      </c>
      <c r="S96" s="159">
        <f t="shared" si="20"/>
        <v>10.826363636363636</v>
      </c>
      <c r="T96" s="159">
        <f t="shared" si="20"/>
        <v>7.7681818181818185</v>
      </c>
      <c r="U96" s="10">
        <f t="shared" si="20"/>
        <v>21.40909090909091</v>
      </c>
      <c r="V96" s="11">
        <f t="shared" si="20"/>
        <v>0.11363636363636363</v>
      </c>
      <c r="W96" s="11">
        <f t="shared" si="20"/>
        <v>0.0637878787878788</v>
      </c>
      <c r="X96" s="11">
        <f t="shared" si="20"/>
        <v>0.007681818181818184</v>
      </c>
      <c r="Y96" s="11">
        <f t="shared" si="20"/>
        <v>0.02090909090909091</v>
      </c>
      <c r="Z96" s="17">
        <f t="shared" si="20"/>
        <v>4.7272727272727275</v>
      </c>
    </row>
    <row r="97" spans="1:14" ht="12.75">
      <c r="A97" s="107">
        <v>36404</v>
      </c>
      <c r="B97" s="108">
        <v>0.2916666666666667</v>
      </c>
      <c r="C97" s="109">
        <v>68.4</v>
      </c>
      <c r="D97" s="110">
        <v>6.43</v>
      </c>
      <c r="E97" s="109">
        <v>190</v>
      </c>
      <c r="F97" s="110">
        <v>8.59</v>
      </c>
      <c r="G97" s="110">
        <v>14.9</v>
      </c>
      <c r="H97" s="112">
        <v>9</v>
      </c>
      <c r="I97" s="113">
        <v>0.03</v>
      </c>
      <c r="J97" s="112">
        <v>0.05</v>
      </c>
      <c r="K97" s="114">
        <v>0.005</v>
      </c>
      <c r="L97" s="112">
        <v>0.01</v>
      </c>
      <c r="M97" s="112">
        <v>5</v>
      </c>
      <c r="N97" s="75"/>
    </row>
    <row r="98" spans="1:14" ht="12.75">
      <c r="A98" s="107">
        <v>36418</v>
      </c>
      <c r="B98" s="108">
        <v>0.34375</v>
      </c>
      <c r="C98" s="109">
        <v>65.9</v>
      </c>
      <c r="D98" s="110">
        <v>6.91</v>
      </c>
      <c r="E98" s="109">
        <v>260</v>
      </c>
      <c r="F98" s="110">
        <v>7.47</v>
      </c>
      <c r="G98" s="110">
        <v>12.6</v>
      </c>
      <c r="H98" s="112"/>
      <c r="I98" s="113">
        <v>0.03</v>
      </c>
      <c r="J98" s="112">
        <v>0.05</v>
      </c>
      <c r="K98" s="114">
        <v>0.02</v>
      </c>
      <c r="L98" s="112">
        <v>0.005</v>
      </c>
      <c r="M98" s="112">
        <v>6</v>
      </c>
      <c r="N98" s="75"/>
    </row>
    <row r="99" spans="1:14" ht="12.75">
      <c r="A99" s="107">
        <v>36446</v>
      </c>
      <c r="B99" s="108">
        <v>0.34722222222222227</v>
      </c>
      <c r="C99" s="109">
        <v>32.4</v>
      </c>
      <c r="D99" s="110">
        <v>6.77</v>
      </c>
      <c r="E99" s="109">
        <v>283</v>
      </c>
      <c r="F99" s="110">
        <v>8.5</v>
      </c>
      <c r="G99" s="110">
        <v>8.8</v>
      </c>
      <c r="H99" s="112">
        <v>6</v>
      </c>
      <c r="I99" s="113">
        <v>0.13</v>
      </c>
      <c r="J99" s="112">
        <v>0.07</v>
      </c>
      <c r="K99" s="114">
        <v>0.008</v>
      </c>
      <c r="L99" s="112">
        <v>0.01</v>
      </c>
      <c r="M99" s="112">
        <v>10</v>
      </c>
      <c r="N99" s="75"/>
    </row>
    <row r="100" spans="1:14" ht="12.75">
      <c r="A100" s="107">
        <v>36474</v>
      </c>
      <c r="B100" s="108">
        <v>0.3541666666666667</v>
      </c>
      <c r="C100" s="109">
        <v>33</v>
      </c>
      <c r="D100" s="110">
        <v>6.01</v>
      </c>
      <c r="E100" s="109">
        <v>306</v>
      </c>
      <c r="F100" s="110">
        <v>13.08</v>
      </c>
      <c r="G100" s="110">
        <v>4.7</v>
      </c>
      <c r="H100" s="112">
        <v>110</v>
      </c>
      <c r="I100" s="113">
        <v>0.07</v>
      </c>
      <c r="J100" s="112">
        <v>0.05</v>
      </c>
      <c r="K100" s="114">
        <v>0.005</v>
      </c>
      <c r="L100" s="112">
        <v>0.01</v>
      </c>
      <c r="M100" s="112">
        <v>5</v>
      </c>
      <c r="N100" s="75"/>
    </row>
    <row r="101" spans="1:14" ht="12.75">
      <c r="A101" s="107">
        <v>36509</v>
      </c>
      <c r="B101" s="108">
        <v>0.3541666666666667</v>
      </c>
      <c r="C101" s="109">
        <v>56.4</v>
      </c>
      <c r="D101" s="110">
        <v>5.79</v>
      </c>
      <c r="E101" s="109">
        <v>291</v>
      </c>
      <c r="F101" s="110">
        <v>11.57</v>
      </c>
      <c r="G101" s="110">
        <v>0.4</v>
      </c>
      <c r="H101" s="112">
        <v>1</v>
      </c>
      <c r="I101" s="113">
        <v>0.12</v>
      </c>
      <c r="J101" s="112">
        <v>0.09</v>
      </c>
      <c r="K101" s="114">
        <v>0.006</v>
      </c>
      <c r="L101" s="112">
        <v>0.01</v>
      </c>
      <c r="M101" s="112">
        <v>5</v>
      </c>
      <c r="N101" s="75"/>
    </row>
    <row r="102" spans="1:14" ht="12.75">
      <c r="A102" s="107">
        <v>36509</v>
      </c>
      <c r="B102" s="109">
        <v>9999</v>
      </c>
      <c r="C102" s="109">
        <v>56.4</v>
      </c>
      <c r="D102" s="110">
        <v>5.79</v>
      </c>
      <c r="E102" s="109">
        <v>291</v>
      </c>
      <c r="F102" s="110">
        <v>11.57</v>
      </c>
      <c r="G102" s="110">
        <v>0.4</v>
      </c>
      <c r="H102" s="112">
        <v>1</v>
      </c>
      <c r="I102" s="113">
        <v>0.14</v>
      </c>
      <c r="J102" s="112">
        <v>0.38</v>
      </c>
      <c r="K102" s="114">
        <v>0.01</v>
      </c>
      <c r="L102" s="112">
        <v>0.03</v>
      </c>
      <c r="M102" s="112">
        <v>5</v>
      </c>
      <c r="N102" s="71"/>
    </row>
    <row r="103" spans="1:14" ht="12.75">
      <c r="A103" s="72" t="s">
        <v>144</v>
      </c>
      <c r="B103" s="73"/>
      <c r="C103" s="65"/>
      <c r="D103" s="65">
        <f>AVERAGE(D85:D102)</f>
        <v>6.4094444444444445</v>
      </c>
      <c r="E103" s="65">
        <f aca="true" t="shared" si="21" ref="E103:M103">AVERAGE(E85:E102)</f>
        <v>247.44444444444446</v>
      </c>
      <c r="F103" s="65">
        <f t="shared" si="21"/>
        <v>10.388333333333332</v>
      </c>
      <c r="G103" s="65">
        <f t="shared" si="21"/>
        <v>8.888888888888891</v>
      </c>
      <c r="H103" s="65">
        <f t="shared" si="21"/>
        <v>20.466666666666665</v>
      </c>
      <c r="I103" s="81">
        <f t="shared" si="21"/>
        <v>0.10055555555555558</v>
      </c>
      <c r="J103" s="81">
        <f t="shared" si="21"/>
        <v>0.08666666666666667</v>
      </c>
      <c r="K103" s="81">
        <f t="shared" si="21"/>
        <v>0.009166666666666667</v>
      </c>
      <c r="L103" s="81">
        <f t="shared" si="21"/>
        <v>0.020666666666666673</v>
      </c>
      <c r="M103" s="65">
        <f t="shared" si="21"/>
        <v>11.722222222222221</v>
      </c>
      <c r="N103" s="75"/>
    </row>
    <row r="104" spans="1:14" ht="12.75">
      <c r="A104" s="72"/>
      <c r="B104" s="73"/>
      <c r="C104" s="65"/>
      <c r="D104" s="65"/>
      <c r="E104" s="65"/>
      <c r="F104" s="65"/>
      <c r="G104" s="65"/>
      <c r="H104" s="78"/>
      <c r="I104" s="68"/>
      <c r="J104" s="66"/>
      <c r="K104" s="69"/>
      <c r="L104" s="69"/>
      <c r="M104" s="68"/>
      <c r="N104" s="75"/>
    </row>
    <row r="105" spans="1:26" s="96" customFormat="1" ht="12.75">
      <c r="A105" s="34" t="s">
        <v>89</v>
      </c>
      <c r="B105" s="34"/>
      <c r="C105" s="37" t="s">
        <v>14</v>
      </c>
      <c r="D105" s="37" t="s">
        <v>145</v>
      </c>
      <c r="E105" s="37" t="s">
        <v>132</v>
      </c>
      <c r="F105" s="37" t="s">
        <v>133</v>
      </c>
      <c r="G105" s="37" t="s">
        <v>142</v>
      </c>
      <c r="H105" s="37" t="s">
        <v>135</v>
      </c>
      <c r="I105" s="37" t="s">
        <v>140</v>
      </c>
      <c r="J105" s="37" t="s">
        <v>141</v>
      </c>
      <c r="K105" s="37" t="s">
        <v>137</v>
      </c>
      <c r="L105" s="37" t="s">
        <v>37</v>
      </c>
      <c r="M105" s="37" t="s">
        <v>136</v>
      </c>
      <c r="N105" s="75"/>
      <c r="O105" s="34" t="s">
        <v>89</v>
      </c>
      <c r="P105" s="37" t="s">
        <v>14</v>
      </c>
      <c r="Q105" s="37" t="s">
        <v>145</v>
      </c>
      <c r="R105" s="37" t="s">
        <v>132</v>
      </c>
      <c r="S105" s="37" t="s">
        <v>133</v>
      </c>
      <c r="T105" s="37" t="s">
        <v>142</v>
      </c>
      <c r="U105" s="37" t="s">
        <v>135</v>
      </c>
      <c r="V105" s="37" t="s">
        <v>140</v>
      </c>
      <c r="W105" s="37" t="s">
        <v>141</v>
      </c>
      <c r="X105" s="37" t="s">
        <v>137</v>
      </c>
      <c r="Y105" s="37" t="s">
        <v>37</v>
      </c>
      <c r="Z105" s="37" t="s">
        <v>136</v>
      </c>
    </row>
    <row r="106" spans="1:26" s="96" customFormat="1" ht="12.75">
      <c r="A106" s="41" t="s">
        <v>105</v>
      </c>
      <c r="B106" s="41" t="s">
        <v>114</v>
      </c>
      <c r="C106" s="45" t="s">
        <v>110</v>
      </c>
      <c r="D106" s="41" t="s">
        <v>111</v>
      </c>
      <c r="E106" s="41" t="s">
        <v>107</v>
      </c>
      <c r="F106" s="41" t="s">
        <v>38</v>
      </c>
      <c r="G106" s="41" t="s">
        <v>39</v>
      </c>
      <c r="H106" s="41" t="s">
        <v>40</v>
      </c>
      <c r="I106" s="41" t="s">
        <v>41</v>
      </c>
      <c r="J106" s="41" t="s">
        <v>38</v>
      </c>
      <c r="K106" s="44" t="s">
        <v>42</v>
      </c>
      <c r="L106" s="41" t="s">
        <v>42</v>
      </c>
      <c r="M106" s="41" t="s">
        <v>109</v>
      </c>
      <c r="N106" s="71"/>
      <c r="O106" s="41" t="s">
        <v>105</v>
      </c>
      <c r="P106" s="45" t="s">
        <v>110</v>
      </c>
      <c r="Q106" s="41" t="s">
        <v>111</v>
      </c>
      <c r="R106" s="41" t="s">
        <v>107</v>
      </c>
      <c r="S106" s="41" t="s">
        <v>38</v>
      </c>
      <c r="T106" s="41" t="s">
        <v>39</v>
      </c>
      <c r="U106" s="41" t="s">
        <v>40</v>
      </c>
      <c r="V106" s="41" t="s">
        <v>41</v>
      </c>
      <c r="W106" s="41" t="s">
        <v>38</v>
      </c>
      <c r="X106" s="44" t="s">
        <v>42</v>
      </c>
      <c r="Y106" s="41" t="s">
        <v>42</v>
      </c>
      <c r="Z106" s="41" t="s">
        <v>109</v>
      </c>
    </row>
    <row r="107" spans="1:19" ht="12.75" customHeight="1" hidden="1">
      <c r="A107" s="40" t="s">
        <v>130</v>
      </c>
      <c r="B107" s="40"/>
      <c r="C107" s="97"/>
      <c r="D107" s="40"/>
      <c r="E107" s="40"/>
      <c r="F107" s="40"/>
      <c r="G107" s="40"/>
      <c r="H107" s="40">
        <v>1</v>
      </c>
      <c r="I107" s="40">
        <v>0.02</v>
      </c>
      <c r="J107" s="40">
        <v>0.05</v>
      </c>
      <c r="K107" s="103">
        <v>0.005</v>
      </c>
      <c r="L107" s="40">
        <v>0.01</v>
      </c>
      <c r="M107" s="40">
        <v>5</v>
      </c>
      <c r="N107" s="68"/>
      <c r="O107" s="68"/>
      <c r="P107" s="68"/>
      <c r="Q107" s="68"/>
      <c r="R107" s="68"/>
      <c r="S107" s="7"/>
    </row>
    <row r="108" spans="1:19" ht="12.75" customHeight="1" hidden="1">
      <c r="A108" s="104" t="s">
        <v>131</v>
      </c>
      <c r="B108" s="104"/>
      <c r="C108" s="105"/>
      <c r="D108" s="104"/>
      <c r="E108" s="104"/>
      <c r="F108" s="104"/>
      <c r="G108" s="104"/>
      <c r="H108" s="104">
        <v>1</v>
      </c>
      <c r="I108" s="104">
        <v>0.1</v>
      </c>
      <c r="J108" s="104">
        <v>0.3</v>
      </c>
      <c r="K108" s="106">
        <v>0.03</v>
      </c>
      <c r="L108" s="104">
        <v>0.05</v>
      </c>
      <c r="M108" s="104">
        <v>20</v>
      </c>
      <c r="N108" s="68"/>
      <c r="O108" s="68"/>
      <c r="P108" s="68"/>
      <c r="Q108" s="68"/>
      <c r="R108" s="68"/>
      <c r="S108" s="7"/>
    </row>
    <row r="109" spans="1:19" ht="12.75" customHeight="1" hidden="1">
      <c r="A109" s="40"/>
      <c r="B109" s="40"/>
      <c r="C109" s="97"/>
      <c r="D109" s="40"/>
      <c r="E109" s="40"/>
      <c r="F109" s="40"/>
      <c r="G109" s="40"/>
      <c r="H109" s="40"/>
      <c r="I109" s="40"/>
      <c r="J109" s="40"/>
      <c r="K109" s="46"/>
      <c r="L109" s="40"/>
      <c r="M109" s="40"/>
      <c r="N109" s="70"/>
      <c r="O109" s="68"/>
      <c r="P109" s="68"/>
      <c r="Q109" s="70"/>
      <c r="R109" s="68"/>
      <c r="S109" s="7"/>
    </row>
    <row r="110" spans="1:19" ht="12.75">
      <c r="A110" s="107">
        <v>36209.333333333336</v>
      </c>
      <c r="B110" s="108">
        <v>0.3333333333333333</v>
      </c>
      <c r="C110" s="109">
        <v>18</v>
      </c>
      <c r="D110" s="109">
        <v>5.95</v>
      </c>
      <c r="E110" s="109">
        <v>580</v>
      </c>
      <c r="F110" s="109">
        <v>10.7</v>
      </c>
      <c r="G110" s="109">
        <v>2.1</v>
      </c>
      <c r="H110" s="112">
        <v>20</v>
      </c>
      <c r="I110" s="112">
        <v>1.05</v>
      </c>
      <c r="J110" s="113">
        <v>0.13</v>
      </c>
      <c r="K110" s="114">
        <v>0.044</v>
      </c>
      <c r="L110" s="112">
        <v>0.06</v>
      </c>
      <c r="M110" s="112">
        <v>74</v>
      </c>
      <c r="N110" s="71"/>
      <c r="O110" s="74" t="s">
        <v>88</v>
      </c>
      <c r="P110" s="71"/>
      <c r="Q110" s="71"/>
      <c r="R110" s="71"/>
      <c r="S110" s="7"/>
    </row>
    <row r="111" spans="1:26" ht="12.75" customHeight="1">
      <c r="A111" s="107">
        <v>36229</v>
      </c>
      <c r="B111" s="108">
        <v>0.3159722222222222</v>
      </c>
      <c r="C111" s="109">
        <v>17</v>
      </c>
      <c r="D111" s="109">
        <v>7.07</v>
      </c>
      <c r="E111" s="109">
        <v>420</v>
      </c>
      <c r="F111" s="109">
        <v>10.84</v>
      </c>
      <c r="G111" s="109">
        <v>3.3</v>
      </c>
      <c r="H111" s="112">
        <v>53</v>
      </c>
      <c r="I111" s="112">
        <v>0.65</v>
      </c>
      <c r="J111" s="113">
        <v>0.05</v>
      </c>
      <c r="K111" s="114">
        <v>0.019</v>
      </c>
      <c r="L111" s="112">
        <v>0.04</v>
      </c>
      <c r="M111" s="112">
        <v>28</v>
      </c>
      <c r="N111" s="68"/>
      <c r="O111" s="74" t="s">
        <v>0</v>
      </c>
      <c r="P111" s="10">
        <f>C110</f>
        <v>18</v>
      </c>
      <c r="Q111" s="10">
        <f aca="true" t="shared" si="22" ref="Q111:X111">D110</f>
        <v>5.95</v>
      </c>
      <c r="R111" s="10">
        <f t="shared" si="22"/>
        <v>580</v>
      </c>
      <c r="S111" s="10">
        <f t="shared" si="22"/>
        <v>10.7</v>
      </c>
      <c r="T111" s="10">
        <f t="shared" si="22"/>
        <v>2.1</v>
      </c>
      <c r="U111" s="10">
        <f t="shared" si="22"/>
        <v>20</v>
      </c>
      <c r="V111" s="11">
        <v>0.89</v>
      </c>
      <c r="W111" s="11">
        <f t="shared" si="22"/>
        <v>0.13</v>
      </c>
      <c r="X111" s="11">
        <f t="shared" si="22"/>
        <v>0.044</v>
      </c>
      <c r="Y111" s="11">
        <v>0.05</v>
      </c>
      <c r="Z111" s="10">
        <v>40</v>
      </c>
    </row>
    <row r="112" spans="1:26" ht="12.75" customHeight="1">
      <c r="A112" s="107">
        <v>36243</v>
      </c>
      <c r="B112" s="108">
        <v>0.3229166666666667</v>
      </c>
      <c r="C112" s="109">
        <v>15</v>
      </c>
      <c r="D112" s="109">
        <v>5.1</v>
      </c>
      <c r="E112" s="109">
        <v>575</v>
      </c>
      <c r="F112" s="109">
        <v>11.19</v>
      </c>
      <c r="G112" s="109">
        <v>7.8</v>
      </c>
      <c r="H112" s="112">
        <v>48</v>
      </c>
      <c r="I112" s="112">
        <v>0.24</v>
      </c>
      <c r="J112" s="113">
        <v>0.05</v>
      </c>
      <c r="K112" s="114">
        <v>0.018</v>
      </c>
      <c r="L112" s="112">
        <v>0.04</v>
      </c>
      <c r="M112" s="112">
        <v>72</v>
      </c>
      <c r="N112" s="68"/>
      <c r="O112" s="74" t="s">
        <v>1</v>
      </c>
      <c r="P112" s="10">
        <f>AVERAGE(C111:C112)</f>
        <v>16</v>
      </c>
      <c r="Q112" s="10">
        <f aca="true" t="shared" si="23" ref="Q112:X112">AVERAGE(D111:D112)</f>
        <v>6.085</v>
      </c>
      <c r="R112" s="10">
        <f t="shared" si="23"/>
        <v>497.5</v>
      </c>
      <c r="S112" s="10">
        <f t="shared" si="23"/>
        <v>11.015</v>
      </c>
      <c r="T112" s="10">
        <f t="shared" si="23"/>
        <v>5.55</v>
      </c>
      <c r="U112" s="10">
        <f t="shared" si="23"/>
        <v>50.5</v>
      </c>
      <c r="V112" s="11">
        <v>0.5</v>
      </c>
      <c r="W112" s="11">
        <f t="shared" si="23"/>
        <v>0.05</v>
      </c>
      <c r="X112" s="11">
        <f t="shared" si="23"/>
        <v>0.0185</v>
      </c>
      <c r="Y112" s="11">
        <v>0.12</v>
      </c>
      <c r="Z112" s="10">
        <v>132</v>
      </c>
    </row>
    <row r="113" spans="1:26" ht="12.75" customHeight="1">
      <c r="A113" s="107">
        <v>36265</v>
      </c>
      <c r="B113" s="108">
        <v>0.3090277777777778</v>
      </c>
      <c r="C113" s="109">
        <v>420</v>
      </c>
      <c r="D113" s="109">
        <v>6.92</v>
      </c>
      <c r="E113" s="109">
        <v>276</v>
      </c>
      <c r="F113" s="109">
        <v>13.19</v>
      </c>
      <c r="G113" s="109">
        <v>0.1</v>
      </c>
      <c r="H113" s="112">
        <v>320</v>
      </c>
      <c r="I113" s="112">
        <v>0.78</v>
      </c>
      <c r="J113" s="113">
        <v>0.21</v>
      </c>
      <c r="K113" s="114">
        <v>0.125</v>
      </c>
      <c r="L113" s="112">
        <v>0.52</v>
      </c>
      <c r="M113" s="112">
        <v>1140</v>
      </c>
      <c r="N113" s="68"/>
      <c r="O113" s="74" t="s">
        <v>2</v>
      </c>
      <c r="P113" s="10">
        <f>C113</f>
        <v>420</v>
      </c>
      <c r="Q113" s="10">
        <f aca="true" t="shared" si="24" ref="Q113:X114">D113</f>
        <v>6.92</v>
      </c>
      <c r="R113" s="10">
        <f t="shared" si="24"/>
        <v>276</v>
      </c>
      <c r="S113" s="10">
        <f t="shared" si="24"/>
        <v>13.19</v>
      </c>
      <c r="T113" s="10">
        <f t="shared" si="24"/>
        <v>0.1</v>
      </c>
      <c r="U113" s="10">
        <f t="shared" si="24"/>
        <v>320</v>
      </c>
      <c r="V113" s="11">
        <v>0.43</v>
      </c>
      <c r="W113" s="11">
        <f t="shared" si="24"/>
        <v>0.21</v>
      </c>
      <c r="X113" s="11">
        <f t="shared" si="24"/>
        <v>0.125</v>
      </c>
      <c r="Y113" s="11">
        <v>0.1</v>
      </c>
      <c r="Z113" s="10">
        <v>124</v>
      </c>
    </row>
    <row r="114" spans="1:26" ht="12.75">
      <c r="A114" s="107">
        <v>36299</v>
      </c>
      <c r="B114" s="108">
        <v>0.3333333333333333</v>
      </c>
      <c r="C114" s="109">
        <v>227</v>
      </c>
      <c r="D114" s="109">
        <v>5.84</v>
      </c>
      <c r="E114" s="109">
        <v>332</v>
      </c>
      <c r="F114" s="109">
        <v>10.43</v>
      </c>
      <c r="G114" s="109">
        <v>12.7</v>
      </c>
      <c r="H114" s="112">
        <v>120</v>
      </c>
      <c r="I114" s="113">
        <v>0.4</v>
      </c>
      <c r="J114" s="113">
        <v>0.07</v>
      </c>
      <c r="K114" s="114">
        <v>0.189</v>
      </c>
      <c r="L114" s="113">
        <v>0.2</v>
      </c>
      <c r="M114" s="112">
        <v>252</v>
      </c>
      <c r="N114" s="71"/>
      <c r="O114" s="74" t="s">
        <v>3</v>
      </c>
      <c r="P114" s="10">
        <f>C114</f>
        <v>227</v>
      </c>
      <c r="Q114" s="10">
        <f t="shared" si="24"/>
        <v>5.84</v>
      </c>
      <c r="R114" s="10">
        <f t="shared" si="24"/>
        <v>332</v>
      </c>
      <c r="S114" s="10">
        <f t="shared" si="24"/>
        <v>10.43</v>
      </c>
      <c r="T114" s="10">
        <f t="shared" si="24"/>
        <v>12.7</v>
      </c>
      <c r="U114" s="10">
        <f t="shared" si="24"/>
        <v>120</v>
      </c>
      <c r="V114" s="11">
        <v>0.22</v>
      </c>
      <c r="W114" s="11">
        <f t="shared" si="24"/>
        <v>0.07</v>
      </c>
      <c r="X114" s="11">
        <f t="shared" si="24"/>
        <v>0.189</v>
      </c>
      <c r="Y114" s="11">
        <v>0.07</v>
      </c>
      <c r="Z114" s="10">
        <v>112</v>
      </c>
    </row>
    <row r="115" spans="1:26" ht="12.75">
      <c r="A115" s="107">
        <v>36299</v>
      </c>
      <c r="B115" s="109">
        <v>9999</v>
      </c>
      <c r="C115" s="109">
        <v>227</v>
      </c>
      <c r="D115" s="109">
        <v>5.84</v>
      </c>
      <c r="E115" s="109">
        <v>332</v>
      </c>
      <c r="F115" s="109">
        <v>10.43</v>
      </c>
      <c r="G115" s="109">
        <v>12.7</v>
      </c>
      <c r="H115" s="112">
        <v>100</v>
      </c>
      <c r="I115" s="112">
        <v>0.42</v>
      </c>
      <c r="J115" s="113">
        <v>0.05</v>
      </c>
      <c r="K115" s="114">
        <v>0.211</v>
      </c>
      <c r="L115" s="112">
        <v>0.21</v>
      </c>
      <c r="M115" s="112">
        <v>250</v>
      </c>
      <c r="N115" s="79"/>
      <c r="O115" s="74" t="s">
        <v>4</v>
      </c>
      <c r="P115" s="17">
        <f>C116</f>
        <v>119</v>
      </c>
      <c r="Q115" s="17">
        <f aca="true" t="shared" si="25" ref="Q115:X115">D116</f>
        <v>5.89</v>
      </c>
      <c r="R115" s="17">
        <f t="shared" si="25"/>
        <v>212</v>
      </c>
      <c r="S115" s="17">
        <f t="shared" si="25"/>
        <v>7.66</v>
      </c>
      <c r="T115" s="17">
        <f t="shared" si="25"/>
        <v>13.9</v>
      </c>
      <c r="U115" s="17">
        <f t="shared" si="25"/>
        <v>110</v>
      </c>
      <c r="V115" s="11">
        <v>0.2</v>
      </c>
      <c r="W115" s="11">
        <f t="shared" si="25"/>
        <v>0.05</v>
      </c>
      <c r="X115" s="11">
        <f t="shared" si="25"/>
        <v>0.038</v>
      </c>
      <c r="Y115" s="11">
        <v>0.04</v>
      </c>
      <c r="Z115" s="17">
        <v>56</v>
      </c>
    </row>
    <row r="116" spans="1:26" ht="12.75">
      <c r="A116" s="107">
        <v>36320</v>
      </c>
      <c r="B116" s="108">
        <v>0.3923611111111111</v>
      </c>
      <c r="C116" s="109">
        <v>119</v>
      </c>
      <c r="D116" s="109">
        <v>5.89</v>
      </c>
      <c r="E116" s="109">
        <v>212</v>
      </c>
      <c r="F116" s="109">
        <v>7.66</v>
      </c>
      <c r="G116" s="109">
        <v>13.9</v>
      </c>
      <c r="H116" s="112">
        <v>110</v>
      </c>
      <c r="I116" s="112">
        <v>0.14</v>
      </c>
      <c r="J116" s="113">
        <v>0.05</v>
      </c>
      <c r="K116" s="114">
        <v>0.038</v>
      </c>
      <c r="L116" s="112">
        <v>0.22</v>
      </c>
      <c r="M116" s="112">
        <v>13</v>
      </c>
      <c r="N116" s="79"/>
      <c r="O116" s="74" t="s">
        <v>5</v>
      </c>
      <c r="P116" s="17">
        <f>AVERAGE(C117:C118)</f>
        <v>28.8</v>
      </c>
      <c r="Q116" s="17">
        <f aca="true" t="shared" si="26" ref="Q116:X116">AVERAGE(D117:D118)</f>
        <v>6.6850000000000005</v>
      </c>
      <c r="R116" s="17">
        <f t="shared" si="26"/>
        <v>337.5</v>
      </c>
      <c r="S116" s="17">
        <f t="shared" si="26"/>
        <v>6.695</v>
      </c>
      <c r="T116" s="17">
        <f t="shared" si="26"/>
        <v>18.05</v>
      </c>
      <c r="U116" s="17">
        <f t="shared" si="26"/>
        <v>350</v>
      </c>
      <c r="V116" s="11">
        <v>0.01</v>
      </c>
      <c r="W116" s="11">
        <f t="shared" si="26"/>
        <v>0.05</v>
      </c>
      <c r="X116" s="11">
        <f t="shared" si="26"/>
        <v>0.0815</v>
      </c>
      <c r="Y116" s="11">
        <v>0.04</v>
      </c>
      <c r="Z116" s="17">
        <v>74</v>
      </c>
    </row>
    <row r="117" spans="1:26" ht="11.25" customHeight="1">
      <c r="A117" s="107">
        <v>36348</v>
      </c>
      <c r="B117" s="108">
        <v>0.3159722222222222</v>
      </c>
      <c r="C117" s="109">
        <v>21.6</v>
      </c>
      <c r="D117" s="109">
        <v>7.72</v>
      </c>
      <c r="E117" s="109">
        <v>305</v>
      </c>
      <c r="F117" s="109">
        <v>8.89</v>
      </c>
      <c r="G117" s="109">
        <v>18.1</v>
      </c>
      <c r="H117" s="112">
        <v>350</v>
      </c>
      <c r="I117" s="113">
        <v>0.2</v>
      </c>
      <c r="J117" s="113">
        <v>0.05</v>
      </c>
      <c r="K117" s="114">
        <v>0.113</v>
      </c>
      <c r="L117" s="112">
        <v>0.11</v>
      </c>
      <c r="M117" s="112">
        <v>100</v>
      </c>
      <c r="N117" s="34"/>
      <c r="O117" s="74" t="s">
        <v>6</v>
      </c>
      <c r="P117" s="17">
        <f>AVERAGE(C119:C120)</f>
        <v>59</v>
      </c>
      <c r="Q117" s="17">
        <f aca="true" t="shared" si="27" ref="Q117:X117">AVERAGE(D119:D120)</f>
        <v>6.545</v>
      </c>
      <c r="R117" s="17">
        <f t="shared" si="27"/>
        <v>335</v>
      </c>
      <c r="S117" s="17">
        <f t="shared" si="27"/>
        <v>7.550000000000001</v>
      </c>
      <c r="T117" s="17">
        <f t="shared" si="27"/>
        <v>16.75</v>
      </c>
      <c r="U117" s="17">
        <f t="shared" si="27"/>
        <v>77</v>
      </c>
      <c r="V117" s="11">
        <v>0.63</v>
      </c>
      <c r="W117" s="11">
        <f t="shared" si="27"/>
        <v>0.10500000000000001</v>
      </c>
      <c r="X117" s="11">
        <f t="shared" si="27"/>
        <v>0.1335</v>
      </c>
      <c r="Y117" s="11">
        <v>0.19</v>
      </c>
      <c r="Z117" s="17">
        <v>130</v>
      </c>
    </row>
    <row r="118" spans="1:26" ht="11.25" customHeight="1">
      <c r="A118" s="107">
        <v>36362</v>
      </c>
      <c r="B118" s="108">
        <v>0.3229166666666667</v>
      </c>
      <c r="C118" s="109">
        <v>36</v>
      </c>
      <c r="D118" s="109">
        <v>5.65</v>
      </c>
      <c r="E118" s="109">
        <v>370</v>
      </c>
      <c r="F118" s="109">
        <v>4.5</v>
      </c>
      <c r="G118" s="110">
        <v>18</v>
      </c>
      <c r="H118" s="112"/>
      <c r="I118" s="112">
        <v>0.37</v>
      </c>
      <c r="J118" s="118">
        <v>0.05</v>
      </c>
      <c r="K118" s="114">
        <v>0.05</v>
      </c>
      <c r="L118" s="115">
        <v>0.04</v>
      </c>
      <c r="M118" s="112">
        <v>112</v>
      </c>
      <c r="N118" s="37"/>
      <c r="O118" s="74" t="s">
        <v>7</v>
      </c>
      <c r="P118" s="17">
        <f>AVERAGE(C121:C122)</f>
        <v>14.5</v>
      </c>
      <c r="Q118" s="17">
        <f aca="true" t="shared" si="28" ref="Q118:X118">AVERAGE(D121:D122)</f>
        <v>6.425000000000001</v>
      </c>
      <c r="R118" s="17">
        <f t="shared" si="28"/>
        <v>375</v>
      </c>
      <c r="S118" s="17">
        <f t="shared" si="28"/>
        <v>7.175</v>
      </c>
      <c r="T118" s="17">
        <f t="shared" si="28"/>
        <v>14.45</v>
      </c>
      <c r="U118" s="17">
        <f t="shared" si="28"/>
        <v>560</v>
      </c>
      <c r="V118" s="11">
        <v>0.48</v>
      </c>
      <c r="W118" s="11">
        <f t="shared" si="28"/>
        <v>0.065</v>
      </c>
      <c r="X118" s="11">
        <f t="shared" si="28"/>
        <v>0.0815</v>
      </c>
      <c r="Y118" s="11">
        <v>0.17</v>
      </c>
      <c r="Z118" s="17">
        <v>65</v>
      </c>
    </row>
    <row r="119" spans="1:26" ht="12.75">
      <c r="A119" s="107">
        <v>36376</v>
      </c>
      <c r="B119" s="108">
        <v>0.3090277777777778</v>
      </c>
      <c r="C119" s="109">
        <v>56</v>
      </c>
      <c r="D119" s="109">
        <v>7.55</v>
      </c>
      <c r="E119" s="109">
        <v>328</v>
      </c>
      <c r="F119" s="109">
        <v>8.66</v>
      </c>
      <c r="G119" s="109">
        <v>17.7</v>
      </c>
      <c r="H119" s="112">
        <v>77</v>
      </c>
      <c r="I119" s="112">
        <v>0.73</v>
      </c>
      <c r="J119" s="118">
        <v>0.07</v>
      </c>
      <c r="K119" s="114">
        <v>0.192</v>
      </c>
      <c r="L119" s="112">
        <v>0.2</v>
      </c>
      <c r="M119" s="112">
        <v>302</v>
      </c>
      <c r="N119" s="37"/>
      <c r="O119" s="74" t="s">
        <v>8</v>
      </c>
      <c r="P119" s="10">
        <f>C124</f>
        <v>3.9</v>
      </c>
      <c r="Q119" s="10">
        <f aca="true" t="shared" si="29" ref="Q119:X119">D124</f>
        <v>5.79</v>
      </c>
      <c r="R119" s="10">
        <f t="shared" si="29"/>
        <v>420</v>
      </c>
      <c r="S119" s="10">
        <f t="shared" si="29"/>
        <v>9.81</v>
      </c>
      <c r="T119" s="10">
        <f t="shared" si="29"/>
        <v>8.2</v>
      </c>
      <c r="U119" s="10">
        <f t="shared" si="29"/>
        <v>160</v>
      </c>
      <c r="V119" s="11">
        <v>0.46</v>
      </c>
      <c r="W119" s="11">
        <f t="shared" si="29"/>
        <v>0.05</v>
      </c>
      <c r="X119" s="11">
        <f t="shared" si="29"/>
        <v>0.069</v>
      </c>
      <c r="Y119" s="11">
        <v>0.06</v>
      </c>
      <c r="Z119" s="10">
        <v>36</v>
      </c>
    </row>
    <row r="120" spans="1:26" s="96" customFormat="1" ht="12.75">
      <c r="A120" s="107">
        <v>36390</v>
      </c>
      <c r="B120" s="108">
        <v>0.3055555555555555</v>
      </c>
      <c r="C120" s="109">
        <v>62</v>
      </c>
      <c r="D120" s="109">
        <v>5.54</v>
      </c>
      <c r="E120" s="109">
        <v>342</v>
      </c>
      <c r="F120" s="109">
        <v>6.44</v>
      </c>
      <c r="G120" s="109">
        <v>15.8</v>
      </c>
      <c r="H120" s="112"/>
      <c r="I120" s="112">
        <v>0.48</v>
      </c>
      <c r="J120" s="118">
        <v>0.14</v>
      </c>
      <c r="K120" s="114">
        <v>0.075</v>
      </c>
      <c r="L120" s="112">
        <v>0.09</v>
      </c>
      <c r="M120" s="112">
        <v>124</v>
      </c>
      <c r="N120" s="40"/>
      <c r="O120" s="74" t="s">
        <v>9</v>
      </c>
      <c r="P120" s="10">
        <f>C125</f>
        <v>10.6</v>
      </c>
      <c r="Q120" s="10">
        <f aca="true" t="shared" si="30" ref="Q120:X120">D125</f>
        <v>5.59</v>
      </c>
      <c r="R120" s="10">
        <f t="shared" si="30"/>
        <v>402</v>
      </c>
      <c r="S120" s="10">
        <f t="shared" si="30"/>
        <v>10.14</v>
      </c>
      <c r="T120" s="10">
        <f t="shared" si="30"/>
        <v>5.1</v>
      </c>
      <c r="U120" s="10">
        <f t="shared" si="30"/>
        <v>160</v>
      </c>
      <c r="V120" s="11">
        <v>0.88</v>
      </c>
      <c r="W120" s="11">
        <f t="shared" si="30"/>
        <v>0.05</v>
      </c>
      <c r="X120" s="11">
        <f t="shared" si="30"/>
        <v>0.029</v>
      </c>
      <c r="Y120" s="11">
        <v>0.03</v>
      </c>
      <c r="Z120" s="10">
        <v>6</v>
      </c>
    </row>
    <row r="121" spans="1:26" ht="12.75">
      <c r="A121" s="107">
        <v>36404</v>
      </c>
      <c r="B121" s="108">
        <v>0.3055555555555555</v>
      </c>
      <c r="C121" s="109">
        <v>19</v>
      </c>
      <c r="D121" s="109">
        <v>7.07</v>
      </c>
      <c r="E121" s="109">
        <v>330</v>
      </c>
      <c r="F121" s="109">
        <v>6.6</v>
      </c>
      <c r="G121" s="109">
        <v>17.5</v>
      </c>
      <c r="H121" s="112">
        <v>560</v>
      </c>
      <c r="I121" s="112">
        <v>0.61</v>
      </c>
      <c r="J121" s="113">
        <v>0.05</v>
      </c>
      <c r="K121" s="114">
        <v>0.052</v>
      </c>
      <c r="L121" s="112">
        <v>0.1</v>
      </c>
      <c r="M121" s="112">
        <v>140</v>
      </c>
      <c r="N121" s="68"/>
      <c r="O121" s="74" t="s">
        <v>10</v>
      </c>
      <c r="P121" s="10">
        <v>15</v>
      </c>
      <c r="Q121" s="10">
        <v>4.81</v>
      </c>
      <c r="R121" s="10">
        <v>514</v>
      </c>
      <c r="S121" s="10">
        <v>11.2</v>
      </c>
      <c r="T121" s="10">
        <v>1.6</v>
      </c>
      <c r="U121" s="10">
        <v>72</v>
      </c>
      <c r="V121" s="11">
        <v>0.97</v>
      </c>
      <c r="W121" s="11">
        <v>0.05</v>
      </c>
      <c r="X121" s="11">
        <v>0.051</v>
      </c>
      <c r="Y121" s="11">
        <v>0.05</v>
      </c>
      <c r="Z121" s="10">
        <v>22</v>
      </c>
    </row>
    <row r="122" spans="1:26" ht="12.75">
      <c r="A122" s="107">
        <v>36418</v>
      </c>
      <c r="B122" s="108">
        <v>0.3229166666666667</v>
      </c>
      <c r="C122" s="109">
        <v>10</v>
      </c>
      <c r="D122" s="109">
        <v>5.78</v>
      </c>
      <c r="E122" s="109">
        <v>420</v>
      </c>
      <c r="F122" s="109">
        <v>7.75</v>
      </c>
      <c r="G122" s="109">
        <v>11.4</v>
      </c>
      <c r="H122" s="112" t="s">
        <v>35</v>
      </c>
      <c r="I122" s="112">
        <v>0.86</v>
      </c>
      <c r="J122" s="113">
        <v>0.08</v>
      </c>
      <c r="K122" s="114">
        <v>0.111</v>
      </c>
      <c r="L122" s="112">
        <v>0.13</v>
      </c>
      <c r="M122" s="112">
        <v>164</v>
      </c>
      <c r="N122" s="68"/>
      <c r="O122" s="68"/>
      <c r="P122" s="17">
        <f aca="true" t="shared" si="31" ref="P122:Z122">AVERAGE(P111:P121)</f>
        <v>84.7090909090909</v>
      </c>
      <c r="Q122" s="13">
        <f t="shared" si="31"/>
        <v>6.048181818181818</v>
      </c>
      <c r="R122" s="17">
        <f t="shared" si="31"/>
        <v>389.1818181818182</v>
      </c>
      <c r="S122" s="159">
        <f t="shared" si="31"/>
        <v>9.596818181818183</v>
      </c>
      <c r="T122" s="159">
        <f t="shared" si="31"/>
        <v>8.954545454545455</v>
      </c>
      <c r="U122" s="10">
        <f t="shared" si="31"/>
        <v>181.77272727272728</v>
      </c>
      <c r="V122" s="11">
        <f t="shared" si="31"/>
        <v>0.5154545454545455</v>
      </c>
      <c r="W122" s="11">
        <f t="shared" si="31"/>
        <v>0.08000000000000002</v>
      </c>
      <c r="X122" s="11">
        <f t="shared" si="31"/>
        <v>0.07818181818181819</v>
      </c>
      <c r="Y122" s="11">
        <f t="shared" si="31"/>
        <v>0.08363636363636365</v>
      </c>
      <c r="Z122" s="17">
        <f t="shared" si="31"/>
        <v>72.45454545454545</v>
      </c>
    </row>
    <row r="123" spans="1:19" ht="12.75">
      <c r="A123" s="107">
        <v>36418</v>
      </c>
      <c r="B123" s="109">
        <v>9999</v>
      </c>
      <c r="C123" s="109">
        <v>10</v>
      </c>
      <c r="D123" s="109">
        <v>5.78</v>
      </c>
      <c r="E123" s="109">
        <v>420</v>
      </c>
      <c r="F123" s="109">
        <v>7.75</v>
      </c>
      <c r="G123" s="109">
        <v>11.4</v>
      </c>
      <c r="H123" s="112"/>
      <c r="I123" s="112">
        <v>0.85</v>
      </c>
      <c r="J123" s="113">
        <v>0.05</v>
      </c>
      <c r="K123" s="114">
        <v>0.067</v>
      </c>
      <c r="L123" s="112">
        <v>0.12</v>
      </c>
      <c r="M123" s="112">
        <v>158</v>
      </c>
      <c r="N123" s="68"/>
      <c r="O123" s="68"/>
      <c r="P123" s="68"/>
      <c r="Q123" s="68"/>
      <c r="R123" s="68"/>
      <c r="S123" s="80"/>
    </row>
    <row r="124" spans="1:19" ht="12.75">
      <c r="A124" s="107">
        <v>36446</v>
      </c>
      <c r="B124" s="108">
        <v>0.3333333333333333</v>
      </c>
      <c r="C124" s="109">
        <v>3.9</v>
      </c>
      <c r="D124" s="109">
        <v>5.79</v>
      </c>
      <c r="E124" s="109">
        <v>420</v>
      </c>
      <c r="F124" s="109">
        <v>9.81</v>
      </c>
      <c r="G124" s="109">
        <v>8.2</v>
      </c>
      <c r="H124" s="112">
        <v>160</v>
      </c>
      <c r="I124" s="113">
        <v>0.1</v>
      </c>
      <c r="J124" s="113">
        <v>0.05</v>
      </c>
      <c r="K124" s="114">
        <v>0.069</v>
      </c>
      <c r="L124" s="112">
        <v>0.08</v>
      </c>
      <c r="M124" s="112">
        <v>92</v>
      </c>
      <c r="N124" s="68"/>
      <c r="O124" s="68"/>
      <c r="P124" s="68"/>
      <c r="Q124" s="67"/>
      <c r="R124" s="67"/>
      <c r="S124" s="82"/>
    </row>
    <row r="125" spans="1:19" ht="12.75">
      <c r="A125" s="107">
        <v>36474</v>
      </c>
      <c r="B125" s="108">
        <v>0.3333333333333333</v>
      </c>
      <c r="C125" s="109">
        <v>10.6</v>
      </c>
      <c r="D125" s="109">
        <v>5.59</v>
      </c>
      <c r="E125" s="109">
        <v>402</v>
      </c>
      <c r="F125" s="109">
        <v>10.14</v>
      </c>
      <c r="G125" s="109">
        <v>5.1</v>
      </c>
      <c r="H125" s="112">
        <v>160</v>
      </c>
      <c r="I125" s="113">
        <v>0.41</v>
      </c>
      <c r="J125" s="113">
        <v>0.05</v>
      </c>
      <c r="K125" s="114">
        <v>0.029</v>
      </c>
      <c r="L125" s="112">
        <v>0.06</v>
      </c>
      <c r="M125" s="112">
        <v>52</v>
      </c>
      <c r="N125" s="68"/>
      <c r="O125" s="68"/>
      <c r="P125" s="68"/>
      <c r="Q125" s="68"/>
      <c r="R125" s="68"/>
      <c r="S125" s="80"/>
    </row>
    <row r="126" spans="1:14" ht="12.75">
      <c r="A126" s="72" t="s">
        <v>144</v>
      </c>
      <c r="B126" s="73"/>
      <c r="C126" s="65"/>
      <c r="D126" s="65">
        <f>AVERAGE(D110:D125)</f>
        <v>6.1925</v>
      </c>
      <c r="E126" s="65">
        <f aca="true" t="shared" si="32" ref="E126:M126">AVERAGE(E110:E125)</f>
        <v>379</v>
      </c>
      <c r="F126" s="65">
        <f t="shared" si="32"/>
        <v>9.061249999999998</v>
      </c>
      <c r="G126" s="65">
        <f t="shared" si="32"/>
        <v>10.987499999999999</v>
      </c>
      <c r="H126" s="65">
        <f t="shared" si="32"/>
        <v>173.16666666666666</v>
      </c>
      <c r="I126" s="81">
        <f t="shared" si="32"/>
        <v>0.5181250000000001</v>
      </c>
      <c r="J126" s="81">
        <f t="shared" si="32"/>
        <v>0.07500000000000002</v>
      </c>
      <c r="K126" s="81">
        <f t="shared" si="32"/>
        <v>0.087625</v>
      </c>
      <c r="L126" s="81">
        <f t="shared" si="32"/>
        <v>0.13875000000000004</v>
      </c>
      <c r="M126" s="65">
        <f t="shared" si="32"/>
        <v>192.0625</v>
      </c>
      <c r="N126" s="75"/>
    </row>
    <row r="127" spans="1:27" ht="12.75">
      <c r="A127" s="63"/>
      <c r="B127" s="64"/>
      <c r="C127" s="66"/>
      <c r="D127" s="66"/>
      <c r="E127" s="66"/>
      <c r="F127" s="66"/>
      <c r="G127" s="65"/>
      <c r="H127" s="66"/>
      <c r="I127" s="68"/>
      <c r="J127" s="68"/>
      <c r="K127" s="68"/>
      <c r="L127" s="65"/>
      <c r="M127" s="83"/>
      <c r="N127" s="68"/>
      <c r="O127" s="68"/>
      <c r="P127" s="34"/>
      <c r="Q127" s="35"/>
      <c r="R127" s="35"/>
      <c r="S127" s="38"/>
      <c r="T127" s="35"/>
      <c r="U127" s="35"/>
      <c r="V127" s="99"/>
      <c r="W127" s="37"/>
      <c r="X127" s="34"/>
      <c r="Y127" s="34"/>
      <c r="Z127" s="37"/>
      <c r="AA127" s="37"/>
    </row>
    <row r="128" spans="1:27" ht="12.75">
      <c r="A128" s="63"/>
      <c r="B128" s="64"/>
      <c r="C128" s="85"/>
      <c r="D128" s="66"/>
      <c r="E128" s="66"/>
      <c r="F128" s="66"/>
      <c r="G128" s="66"/>
      <c r="H128" s="66"/>
      <c r="I128" s="76"/>
      <c r="J128" s="76"/>
      <c r="K128" s="68"/>
      <c r="L128" s="65"/>
      <c r="M128" s="81"/>
      <c r="N128" s="68"/>
      <c r="O128" s="68"/>
      <c r="P128" s="37"/>
      <c r="Q128" s="39"/>
      <c r="R128" s="39"/>
      <c r="S128" s="38"/>
      <c r="T128" s="39"/>
      <c r="U128" s="39"/>
      <c r="V128" s="37"/>
      <c r="W128" s="37"/>
      <c r="X128" s="37"/>
      <c r="Y128" s="37"/>
      <c r="Z128" s="37"/>
      <c r="AA128" s="37"/>
    </row>
    <row r="129" spans="1:26" ht="12.75">
      <c r="A129" s="37" t="s">
        <v>115</v>
      </c>
      <c r="B129" s="37"/>
      <c r="C129" s="39" t="s">
        <v>158</v>
      </c>
      <c r="D129" s="39" t="s">
        <v>104</v>
      </c>
      <c r="E129" s="38" t="s">
        <v>132</v>
      </c>
      <c r="F129" s="39" t="s">
        <v>133</v>
      </c>
      <c r="G129" s="39" t="s">
        <v>142</v>
      </c>
      <c r="H129" s="37" t="s">
        <v>159</v>
      </c>
      <c r="I129" s="37" t="s">
        <v>135</v>
      </c>
      <c r="J129" s="37" t="s">
        <v>160</v>
      </c>
      <c r="K129" s="37" t="s">
        <v>137</v>
      </c>
      <c r="L129" s="37" t="s">
        <v>37</v>
      </c>
      <c r="M129" s="99" t="s">
        <v>136</v>
      </c>
      <c r="O129" s="37" t="s">
        <v>115</v>
      </c>
      <c r="P129" s="39" t="s">
        <v>158</v>
      </c>
      <c r="Q129" s="39" t="s">
        <v>104</v>
      </c>
      <c r="R129" s="38" t="s">
        <v>132</v>
      </c>
      <c r="S129" s="39" t="s">
        <v>133</v>
      </c>
      <c r="T129" s="39" t="s">
        <v>142</v>
      </c>
      <c r="U129" s="37" t="s">
        <v>159</v>
      </c>
      <c r="V129" s="37" t="s">
        <v>135</v>
      </c>
      <c r="W129" s="37" t="s">
        <v>160</v>
      </c>
      <c r="X129" s="37" t="s">
        <v>137</v>
      </c>
      <c r="Y129" s="37" t="s">
        <v>37</v>
      </c>
      <c r="Z129" s="99" t="s">
        <v>136</v>
      </c>
    </row>
    <row r="130" spans="1:26" ht="12.75">
      <c r="A130" s="41" t="s">
        <v>105</v>
      </c>
      <c r="B130" s="41" t="s">
        <v>114</v>
      </c>
      <c r="C130" s="42" t="s">
        <v>43</v>
      </c>
      <c r="D130" s="42" t="s">
        <v>106</v>
      </c>
      <c r="E130" s="43" t="s">
        <v>107</v>
      </c>
      <c r="F130" s="42" t="s">
        <v>38</v>
      </c>
      <c r="G130" s="42" t="s">
        <v>39</v>
      </c>
      <c r="H130" s="41" t="s">
        <v>108</v>
      </c>
      <c r="I130" s="41" t="s">
        <v>40</v>
      </c>
      <c r="J130" s="41" t="s">
        <v>38</v>
      </c>
      <c r="K130" s="44" t="s">
        <v>42</v>
      </c>
      <c r="L130" s="41" t="s">
        <v>42</v>
      </c>
      <c r="M130" s="41" t="s">
        <v>109</v>
      </c>
      <c r="N130" s="84"/>
      <c r="O130" s="41" t="s">
        <v>105</v>
      </c>
      <c r="P130" s="42" t="s">
        <v>43</v>
      </c>
      <c r="Q130" s="42" t="s">
        <v>106</v>
      </c>
      <c r="R130" s="43" t="s">
        <v>107</v>
      </c>
      <c r="S130" s="42" t="s">
        <v>38</v>
      </c>
      <c r="T130" s="42" t="s">
        <v>39</v>
      </c>
      <c r="U130" s="41" t="s">
        <v>108</v>
      </c>
      <c r="V130" s="41" t="s">
        <v>40</v>
      </c>
      <c r="W130" s="41" t="s">
        <v>38</v>
      </c>
      <c r="X130" s="44" t="s">
        <v>42</v>
      </c>
      <c r="Y130" s="41" t="s">
        <v>42</v>
      </c>
      <c r="Z130" s="41" t="s">
        <v>109</v>
      </c>
    </row>
    <row r="131" spans="1:15" ht="12.75">
      <c r="A131" s="107">
        <v>36209.42013888889</v>
      </c>
      <c r="B131" s="108">
        <v>0.4201388888888889</v>
      </c>
      <c r="C131" s="110"/>
      <c r="D131" s="110">
        <v>8.04</v>
      </c>
      <c r="E131" s="116">
        <v>316</v>
      </c>
      <c r="F131" s="110">
        <v>12.59</v>
      </c>
      <c r="G131" s="110">
        <v>3</v>
      </c>
      <c r="H131" s="110">
        <v>3.6</v>
      </c>
      <c r="I131" s="112">
        <v>1</v>
      </c>
      <c r="J131" s="110">
        <v>0.2</v>
      </c>
      <c r="K131" s="114">
        <v>0.005</v>
      </c>
      <c r="L131" s="114">
        <v>0.01</v>
      </c>
      <c r="M131" s="112">
        <v>5</v>
      </c>
      <c r="N131" s="68"/>
      <c r="O131" s="68" t="s">
        <v>88</v>
      </c>
    </row>
    <row r="132" spans="1:26" ht="12.75">
      <c r="A132" s="107">
        <v>36209</v>
      </c>
      <c r="B132" s="108">
        <v>0.4236111111111111</v>
      </c>
      <c r="C132" s="110">
        <v>3</v>
      </c>
      <c r="D132" s="110">
        <v>7.96</v>
      </c>
      <c r="E132" s="116">
        <v>317</v>
      </c>
      <c r="F132" s="110">
        <v>12.91</v>
      </c>
      <c r="G132" s="110">
        <v>2.9</v>
      </c>
      <c r="H132" s="110"/>
      <c r="I132" s="112">
        <v>1</v>
      </c>
      <c r="J132" s="110">
        <v>0.2</v>
      </c>
      <c r="K132" s="114">
        <v>0.005</v>
      </c>
      <c r="L132" s="114">
        <v>0.01</v>
      </c>
      <c r="M132" s="112">
        <v>5</v>
      </c>
      <c r="N132" s="71"/>
      <c r="O132" s="68" t="s">
        <v>0</v>
      </c>
      <c r="P132" s="159">
        <f>AVERAGE(C131:C133)</f>
        <v>3</v>
      </c>
      <c r="Q132" s="159">
        <f aca="true" t="shared" si="33" ref="Q132:Y132">AVERAGE(D131:D133)</f>
        <v>7.97</v>
      </c>
      <c r="R132" s="159">
        <f t="shared" si="33"/>
        <v>319.6666666666667</v>
      </c>
      <c r="S132" s="159">
        <f t="shared" si="33"/>
        <v>12.87</v>
      </c>
      <c r="T132" s="159">
        <f t="shared" si="33"/>
        <v>2.966666666666667</v>
      </c>
      <c r="U132" s="159">
        <f t="shared" si="33"/>
        <v>3.6</v>
      </c>
      <c r="V132" s="17">
        <f t="shared" si="33"/>
        <v>1</v>
      </c>
      <c r="W132" s="11">
        <v>0.3</v>
      </c>
      <c r="X132" s="11">
        <f t="shared" si="33"/>
        <v>0.008666666666666668</v>
      </c>
      <c r="Y132" s="11">
        <f t="shared" si="33"/>
        <v>0.01</v>
      </c>
      <c r="Z132" s="159">
        <v>2.5</v>
      </c>
    </row>
    <row r="133" spans="1:26" ht="12.75">
      <c r="A133" s="133">
        <v>36209</v>
      </c>
      <c r="B133" s="134">
        <v>0.427083333333333</v>
      </c>
      <c r="C133" s="135"/>
      <c r="D133" s="135">
        <v>7.91</v>
      </c>
      <c r="E133" s="136">
        <v>326</v>
      </c>
      <c r="F133" s="135">
        <v>13.11</v>
      </c>
      <c r="G133" s="135">
        <v>3</v>
      </c>
      <c r="H133" s="135"/>
      <c r="I133" s="137">
        <v>1</v>
      </c>
      <c r="J133" s="135">
        <v>0.3</v>
      </c>
      <c r="K133" s="138">
        <v>0.016</v>
      </c>
      <c r="L133" s="114">
        <v>0.01</v>
      </c>
      <c r="M133" s="137">
        <v>5</v>
      </c>
      <c r="N133" s="68"/>
      <c r="O133" s="68" t="s">
        <v>1</v>
      </c>
      <c r="P133" s="159">
        <f>AVERAGE(C134:C140)</f>
        <v>2.5</v>
      </c>
      <c r="Q133" s="159">
        <f aca="true" t="shared" si="34" ref="Q133:X133">AVERAGE(D134:D140)</f>
        <v>7.402857142857143</v>
      </c>
      <c r="R133" s="159">
        <f t="shared" si="34"/>
        <v>340.2857142857143</v>
      </c>
      <c r="S133" s="159">
        <f t="shared" si="34"/>
        <v>12.255714285714285</v>
      </c>
      <c r="T133" s="159">
        <f t="shared" si="34"/>
        <v>6.4</v>
      </c>
      <c r="U133" s="159">
        <f t="shared" si="34"/>
        <v>4.55</v>
      </c>
      <c r="V133" s="17">
        <f t="shared" si="34"/>
        <v>1</v>
      </c>
      <c r="W133" s="11">
        <v>0.2</v>
      </c>
      <c r="X133" s="11">
        <f t="shared" si="34"/>
        <v>0.005</v>
      </c>
      <c r="Y133" s="11">
        <v>0.03</v>
      </c>
      <c r="Z133" s="159">
        <v>2.5</v>
      </c>
    </row>
    <row r="134" spans="1:26" ht="12.75">
      <c r="A134" s="107">
        <v>36229</v>
      </c>
      <c r="B134" s="108">
        <v>0.4513888888888889</v>
      </c>
      <c r="C134" s="110"/>
      <c r="D134" s="110">
        <v>8.42</v>
      </c>
      <c r="E134" s="116">
        <v>313</v>
      </c>
      <c r="F134" s="110">
        <v>13</v>
      </c>
      <c r="G134" s="110">
        <v>5</v>
      </c>
      <c r="H134" s="110">
        <v>4.1</v>
      </c>
      <c r="I134" s="112">
        <v>1</v>
      </c>
      <c r="J134" s="110">
        <v>0.2</v>
      </c>
      <c r="K134" s="114">
        <v>0.005</v>
      </c>
      <c r="L134" s="114">
        <v>0.01</v>
      </c>
      <c r="M134" s="112">
        <v>5</v>
      </c>
      <c r="N134" s="68"/>
      <c r="O134" s="68" t="s">
        <v>2</v>
      </c>
      <c r="P134" s="159">
        <f>AVERAGE(C141:C145)</f>
        <v>2</v>
      </c>
      <c r="Q134" s="159">
        <f aca="true" t="shared" si="35" ref="Q134:X134">AVERAGE(D141:D145)</f>
        <v>8.124</v>
      </c>
      <c r="R134" s="159">
        <f t="shared" si="35"/>
        <v>330.2</v>
      </c>
      <c r="S134" s="159">
        <f t="shared" si="35"/>
        <v>11.115999999999998</v>
      </c>
      <c r="T134" s="159">
        <f t="shared" si="35"/>
        <v>8.14</v>
      </c>
      <c r="U134" s="159">
        <f t="shared" si="35"/>
        <v>4.05</v>
      </c>
      <c r="V134" s="17">
        <f t="shared" si="35"/>
        <v>1</v>
      </c>
      <c r="W134" s="11">
        <v>0.05</v>
      </c>
      <c r="X134" s="11">
        <f t="shared" si="35"/>
        <v>0.005</v>
      </c>
      <c r="Y134" s="11">
        <v>0.03</v>
      </c>
      <c r="Z134" s="159">
        <v>9</v>
      </c>
    </row>
    <row r="135" spans="1:26" ht="12.75">
      <c r="A135" s="107">
        <f>A134</f>
        <v>36229</v>
      </c>
      <c r="B135" s="108">
        <v>0.4444444444444444</v>
      </c>
      <c r="C135" s="110">
        <v>2</v>
      </c>
      <c r="D135" s="110">
        <v>8.42</v>
      </c>
      <c r="E135" s="116">
        <v>313</v>
      </c>
      <c r="F135" s="110">
        <v>13</v>
      </c>
      <c r="G135" s="110">
        <v>5</v>
      </c>
      <c r="H135" s="110"/>
      <c r="I135" s="112">
        <v>1</v>
      </c>
      <c r="J135" s="110">
        <v>0.2</v>
      </c>
      <c r="K135" s="114">
        <v>0.005</v>
      </c>
      <c r="L135" s="114">
        <v>0.01</v>
      </c>
      <c r="M135" s="112">
        <v>5</v>
      </c>
      <c r="N135" s="68"/>
      <c r="O135" s="68" t="s">
        <v>3</v>
      </c>
      <c r="P135" s="159">
        <f>AVERAGE(C146:C149)</f>
        <v>1</v>
      </c>
      <c r="Q135" s="159">
        <f aca="true" t="shared" si="36" ref="Q135:X135">AVERAGE(D146:D149)</f>
        <v>7.55</v>
      </c>
      <c r="R135" s="159">
        <f t="shared" si="36"/>
        <v>305.5</v>
      </c>
      <c r="S135" s="159">
        <f t="shared" si="36"/>
        <v>14.75</v>
      </c>
      <c r="T135" s="159">
        <f t="shared" si="36"/>
        <v>12.65</v>
      </c>
      <c r="U135" s="159">
        <f t="shared" si="36"/>
        <v>4.6</v>
      </c>
      <c r="V135" s="17">
        <f t="shared" si="36"/>
        <v>12</v>
      </c>
      <c r="W135" s="11">
        <v>0.33</v>
      </c>
      <c r="X135" s="11">
        <f t="shared" si="36"/>
        <v>0.05850000000000001</v>
      </c>
      <c r="Y135" s="11">
        <v>0.015</v>
      </c>
      <c r="Z135" s="159">
        <v>16</v>
      </c>
    </row>
    <row r="136" spans="1:26" ht="12.75">
      <c r="A136" s="133">
        <f>A134</f>
        <v>36229</v>
      </c>
      <c r="B136" s="134">
        <v>0.4375</v>
      </c>
      <c r="C136" s="135"/>
      <c r="D136" s="135">
        <v>8.21</v>
      </c>
      <c r="E136" s="136">
        <v>493</v>
      </c>
      <c r="F136" s="135">
        <v>12.68</v>
      </c>
      <c r="G136" s="135">
        <v>5.1</v>
      </c>
      <c r="H136" s="135"/>
      <c r="I136" s="137">
        <v>1</v>
      </c>
      <c r="J136" s="135">
        <v>0.2</v>
      </c>
      <c r="K136" s="114">
        <v>0.005</v>
      </c>
      <c r="L136" s="114">
        <v>0.01</v>
      </c>
      <c r="M136" s="137">
        <v>5</v>
      </c>
      <c r="N136" s="7"/>
      <c r="O136" s="68" t="s">
        <v>4</v>
      </c>
      <c r="P136" s="159">
        <f>AVERAGE(C150:C153)</f>
        <v>0.6</v>
      </c>
      <c r="Q136" s="159">
        <f aca="true" t="shared" si="37" ref="Q136:X136">AVERAGE(D150:D153)</f>
        <v>7.7225</v>
      </c>
      <c r="R136" s="159">
        <f t="shared" si="37"/>
        <v>198.75</v>
      </c>
      <c r="S136" s="159">
        <f t="shared" si="37"/>
        <v>10.2225</v>
      </c>
      <c r="T136" s="159">
        <f t="shared" si="37"/>
        <v>15.725000000000001</v>
      </c>
      <c r="U136" s="159">
        <f t="shared" si="37"/>
        <v>11</v>
      </c>
      <c r="V136" s="17">
        <f t="shared" si="37"/>
        <v>10</v>
      </c>
      <c r="W136" s="11">
        <v>0.05</v>
      </c>
      <c r="X136" s="11">
        <f t="shared" si="37"/>
        <v>0.02825</v>
      </c>
      <c r="Y136" s="11">
        <v>0.01</v>
      </c>
      <c r="Z136" s="159">
        <v>9</v>
      </c>
    </row>
    <row r="137" spans="1:26" ht="12.75">
      <c r="A137" s="107">
        <v>36243</v>
      </c>
      <c r="B137" s="108">
        <v>0.4166666666666667</v>
      </c>
      <c r="C137" s="110"/>
      <c r="D137" s="110">
        <v>6.86</v>
      </c>
      <c r="E137" s="116">
        <v>316</v>
      </c>
      <c r="F137" s="110">
        <v>11.54</v>
      </c>
      <c r="G137" s="110">
        <v>7.5</v>
      </c>
      <c r="H137" s="110">
        <v>5</v>
      </c>
      <c r="I137" s="112">
        <v>1</v>
      </c>
      <c r="J137" s="110">
        <v>0.4</v>
      </c>
      <c r="K137" s="114">
        <v>0.005</v>
      </c>
      <c r="L137" s="114">
        <v>0.01</v>
      </c>
      <c r="M137" s="112">
        <v>10</v>
      </c>
      <c r="N137" s="7"/>
      <c r="O137" s="68" t="s">
        <v>5</v>
      </c>
      <c r="P137" s="159">
        <f>AVERAGE(C154:C159)</f>
        <v>2</v>
      </c>
      <c r="Q137" s="159">
        <f aca="true" t="shared" si="38" ref="Q137:X137">AVERAGE(D154:D159)</f>
        <v>7.703333333333332</v>
      </c>
      <c r="R137" s="159">
        <f t="shared" si="38"/>
        <v>223.16666666666666</v>
      </c>
      <c r="S137" s="159">
        <f t="shared" si="38"/>
        <v>7.823333333333333</v>
      </c>
      <c r="T137" s="159">
        <f t="shared" si="38"/>
        <v>20.116666666666664</v>
      </c>
      <c r="U137" s="159">
        <f t="shared" si="38"/>
        <v>2</v>
      </c>
      <c r="V137" s="17">
        <f t="shared" si="38"/>
        <v>2.6666666666666665</v>
      </c>
      <c r="W137" s="11">
        <v>0.28</v>
      </c>
      <c r="X137" s="11">
        <f t="shared" si="38"/>
        <v>0.011000000000000001</v>
      </c>
      <c r="Y137" s="11">
        <v>0.01</v>
      </c>
      <c r="Z137" s="159">
        <v>2.5</v>
      </c>
    </row>
    <row r="138" spans="1:26" ht="12.75">
      <c r="A138" s="107">
        <v>36243</v>
      </c>
      <c r="B138" s="108">
        <v>0.4270833333333333</v>
      </c>
      <c r="C138" s="110">
        <v>3</v>
      </c>
      <c r="D138" s="110">
        <v>6.81</v>
      </c>
      <c r="E138" s="116">
        <v>317</v>
      </c>
      <c r="F138" s="110">
        <v>11.66</v>
      </c>
      <c r="G138" s="110">
        <v>7.5</v>
      </c>
      <c r="H138" s="110"/>
      <c r="I138" s="112">
        <v>1</v>
      </c>
      <c r="J138" s="110">
        <v>0.2</v>
      </c>
      <c r="K138" s="114">
        <v>0.005</v>
      </c>
      <c r="L138" s="114">
        <v>0.01</v>
      </c>
      <c r="M138" s="112">
        <v>5</v>
      </c>
      <c r="N138" s="34"/>
      <c r="O138" s="68" t="s">
        <v>6</v>
      </c>
      <c r="P138" s="159">
        <f>AVERAGE(C160:C166)</f>
        <v>2.75</v>
      </c>
      <c r="Q138" s="159">
        <f aca="true" t="shared" si="39" ref="Q138:X138">AVERAGE(D160:D166)</f>
        <v>7.87</v>
      </c>
      <c r="R138" s="159">
        <f t="shared" si="39"/>
        <v>212.71428571428572</v>
      </c>
      <c r="S138" s="159">
        <f t="shared" si="39"/>
        <v>8.07</v>
      </c>
      <c r="T138" s="159">
        <f t="shared" si="39"/>
        <v>19.8</v>
      </c>
      <c r="U138" s="159">
        <f t="shared" si="39"/>
        <v>3.45</v>
      </c>
      <c r="V138" s="17">
        <f t="shared" si="39"/>
        <v>7</v>
      </c>
      <c r="W138" s="11">
        <v>0.5</v>
      </c>
      <c r="X138" s="11">
        <f t="shared" si="39"/>
        <v>0.02028571428571429</v>
      </c>
      <c r="Y138" s="11">
        <v>0.02</v>
      </c>
      <c r="Z138" s="159">
        <v>5</v>
      </c>
    </row>
    <row r="139" spans="1:26" ht="12.75">
      <c r="A139" s="107">
        <v>36243</v>
      </c>
      <c r="B139" s="109">
        <v>9999</v>
      </c>
      <c r="C139" s="110"/>
      <c r="D139" s="110">
        <v>6.81</v>
      </c>
      <c r="E139" s="116">
        <v>317</v>
      </c>
      <c r="F139" s="110">
        <v>11.66</v>
      </c>
      <c r="G139" s="110">
        <v>7.5</v>
      </c>
      <c r="H139" s="110"/>
      <c r="I139" s="112">
        <v>1</v>
      </c>
      <c r="J139" s="110">
        <v>0.2</v>
      </c>
      <c r="K139" s="114">
        <v>0.005</v>
      </c>
      <c r="L139" s="114">
        <v>0.01</v>
      </c>
      <c r="M139" s="112">
        <v>8</v>
      </c>
      <c r="N139" s="37"/>
      <c r="O139" s="68" t="s">
        <v>7</v>
      </c>
      <c r="P139" s="159">
        <f>AVERAGE(C167:C173)</f>
        <v>2</v>
      </c>
      <c r="Q139" s="159">
        <f aca="true" t="shared" si="40" ref="Q139:X139">AVERAGE(D167:D173)</f>
        <v>7.492857142857142</v>
      </c>
      <c r="R139" s="159">
        <f t="shared" si="40"/>
        <v>220.28571428571428</v>
      </c>
      <c r="S139" s="159">
        <f t="shared" si="40"/>
        <v>7.6414285714285715</v>
      </c>
      <c r="T139" s="159">
        <f t="shared" si="40"/>
        <v>19.285714285714285</v>
      </c>
      <c r="U139" s="159">
        <f t="shared" si="40"/>
        <v>3.6</v>
      </c>
      <c r="V139" s="17">
        <f t="shared" si="40"/>
        <v>2</v>
      </c>
      <c r="W139" s="11">
        <v>1</v>
      </c>
      <c r="X139" s="11">
        <f t="shared" si="40"/>
        <v>0.009428571428571427</v>
      </c>
      <c r="Y139" s="11">
        <v>0.02</v>
      </c>
      <c r="Z139" s="159">
        <v>8</v>
      </c>
    </row>
    <row r="140" spans="1:26" ht="12.75">
      <c r="A140" s="133">
        <f>A137</f>
        <v>36243</v>
      </c>
      <c r="B140" s="134">
        <v>0.4375</v>
      </c>
      <c r="C140" s="135"/>
      <c r="D140" s="135">
        <v>6.29</v>
      </c>
      <c r="E140" s="136">
        <v>313</v>
      </c>
      <c r="F140" s="135">
        <v>12.25</v>
      </c>
      <c r="G140" s="135">
        <v>7.2</v>
      </c>
      <c r="H140" s="135"/>
      <c r="I140" s="137">
        <v>1</v>
      </c>
      <c r="J140" s="135">
        <v>0.3</v>
      </c>
      <c r="K140" s="114">
        <v>0.005</v>
      </c>
      <c r="L140" s="114">
        <v>0.01</v>
      </c>
      <c r="M140" s="137">
        <v>14</v>
      </c>
      <c r="N140" s="37"/>
      <c r="O140" s="68" t="s">
        <v>8</v>
      </c>
      <c r="P140" s="159">
        <f>AVERAGE(C174:C177)</f>
        <v>2.5</v>
      </c>
      <c r="Q140" s="159">
        <f aca="true" t="shared" si="41" ref="Q140:X140">AVERAGE(D174:D177)</f>
        <v>7.7875</v>
      </c>
      <c r="R140" s="159">
        <f t="shared" si="41"/>
        <v>243.75</v>
      </c>
      <c r="S140" s="159">
        <f t="shared" si="41"/>
        <v>10.6</v>
      </c>
      <c r="T140" s="159">
        <f t="shared" si="41"/>
        <v>13.275000000000002</v>
      </c>
      <c r="U140" s="159">
        <f t="shared" si="41"/>
        <v>7.3</v>
      </c>
      <c r="V140" s="17">
        <f t="shared" si="41"/>
        <v>9.5</v>
      </c>
      <c r="W140" s="11">
        <v>0.05</v>
      </c>
      <c r="X140" s="11">
        <f t="shared" si="41"/>
        <v>0.009500000000000001</v>
      </c>
      <c r="Y140" s="11">
        <v>0.02</v>
      </c>
      <c r="Z140" s="159">
        <v>27</v>
      </c>
    </row>
    <row r="141" spans="1:26" ht="12.75">
      <c r="A141" s="107">
        <v>36265</v>
      </c>
      <c r="B141" s="108">
        <v>0.4305555555555556</v>
      </c>
      <c r="C141" s="110"/>
      <c r="D141" s="110">
        <v>8.38</v>
      </c>
      <c r="E141" s="116">
        <v>329</v>
      </c>
      <c r="F141" s="110">
        <v>11.28</v>
      </c>
      <c r="G141" s="110">
        <v>8.3</v>
      </c>
      <c r="H141" s="110">
        <v>3.9</v>
      </c>
      <c r="I141" s="112">
        <v>1</v>
      </c>
      <c r="J141" s="110">
        <v>0.1</v>
      </c>
      <c r="K141" s="114">
        <v>0.005</v>
      </c>
      <c r="L141" s="114">
        <v>0.01</v>
      </c>
      <c r="M141" s="112">
        <v>6</v>
      </c>
      <c r="N141" s="40"/>
      <c r="O141" s="68" t="s">
        <v>9</v>
      </c>
      <c r="P141" s="159">
        <f>AVERAGE(C178:C180)</f>
        <v>2</v>
      </c>
      <c r="Q141" s="159">
        <f aca="true" t="shared" si="42" ref="Q141:X141">AVERAGE(D178:D180)</f>
        <v>7.41</v>
      </c>
      <c r="R141" s="159">
        <f t="shared" si="42"/>
        <v>257</v>
      </c>
      <c r="S141" s="159">
        <f t="shared" si="42"/>
        <v>11.283333333333333</v>
      </c>
      <c r="T141" s="159">
        <f t="shared" si="42"/>
        <v>8.733333333333334</v>
      </c>
      <c r="U141" s="159">
        <f t="shared" si="42"/>
        <v>5.3</v>
      </c>
      <c r="V141" s="17">
        <f t="shared" si="42"/>
        <v>4.333333333333333</v>
      </c>
      <c r="W141" s="11">
        <v>0.5</v>
      </c>
      <c r="X141" s="11">
        <f t="shared" si="42"/>
        <v>0.005</v>
      </c>
      <c r="Y141" s="11">
        <v>0.03</v>
      </c>
      <c r="Z141" s="159">
        <v>16</v>
      </c>
    </row>
    <row r="142" spans="1:26" ht="12.75">
      <c r="A142" s="107">
        <v>36265</v>
      </c>
      <c r="B142" s="109">
        <v>9999</v>
      </c>
      <c r="C142" s="110"/>
      <c r="D142" s="110">
        <v>8.38</v>
      </c>
      <c r="E142" s="116">
        <v>329</v>
      </c>
      <c r="F142" s="110">
        <v>11.28</v>
      </c>
      <c r="G142" s="110">
        <v>8.3</v>
      </c>
      <c r="H142" s="110">
        <v>4.2</v>
      </c>
      <c r="I142" s="112"/>
      <c r="J142" s="110"/>
      <c r="K142" s="114">
        <v>0.005</v>
      </c>
      <c r="L142" s="114"/>
      <c r="M142" s="112"/>
      <c r="N142" s="68"/>
      <c r="O142" s="68" t="s">
        <v>10</v>
      </c>
      <c r="P142" s="159">
        <f>AVERAGE(C181:C183)</f>
        <v>2.5</v>
      </c>
      <c r="Q142" s="159">
        <f aca="true" t="shared" si="43" ref="Q142:Y142">AVERAGE(D181:D183)</f>
        <v>7.273333333333333</v>
      </c>
      <c r="R142" s="159">
        <f t="shared" si="43"/>
        <v>291</v>
      </c>
      <c r="S142" s="159">
        <f t="shared" si="43"/>
        <v>11.06</v>
      </c>
      <c r="T142" s="159">
        <f t="shared" si="43"/>
        <v>2.033333333333333</v>
      </c>
      <c r="U142" s="159">
        <f t="shared" si="43"/>
        <v>1.9</v>
      </c>
      <c r="V142" s="17">
        <f t="shared" si="43"/>
        <v>1</v>
      </c>
      <c r="W142" s="11">
        <v>0.05</v>
      </c>
      <c r="X142" s="11">
        <f t="shared" si="43"/>
        <v>0.007333333333333333</v>
      </c>
      <c r="Y142" s="11">
        <f t="shared" si="43"/>
        <v>0.01</v>
      </c>
      <c r="Z142" s="159">
        <v>2.5</v>
      </c>
    </row>
    <row r="143" spans="1:26" ht="12.75">
      <c r="A143" s="107">
        <v>36265</v>
      </c>
      <c r="B143" s="108">
        <v>0.4270833333333333</v>
      </c>
      <c r="C143" s="110">
        <v>2</v>
      </c>
      <c r="D143" s="110">
        <v>8.38</v>
      </c>
      <c r="E143" s="116">
        <v>329</v>
      </c>
      <c r="F143" s="110">
        <v>11.28</v>
      </c>
      <c r="G143" s="110">
        <v>8.3</v>
      </c>
      <c r="H143" s="111"/>
      <c r="I143" s="112">
        <v>1</v>
      </c>
      <c r="J143" s="110">
        <v>0.2</v>
      </c>
      <c r="K143" s="114">
        <v>0.005</v>
      </c>
      <c r="L143" s="114">
        <v>0.01</v>
      </c>
      <c r="M143" s="112">
        <v>5</v>
      </c>
      <c r="N143" s="68"/>
      <c r="O143" s="68" t="s">
        <v>144</v>
      </c>
      <c r="P143" s="159">
        <f>AVERAGE(P132:P142)</f>
        <v>2.0772727272727276</v>
      </c>
      <c r="Q143" s="159">
        <f aca="true" t="shared" si="44" ref="Q143:Z143">AVERAGE(Q132:Q142)</f>
        <v>7.66421645021645</v>
      </c>
      <c r="R143" s="159">
        <f t="shared" si="44"/>
        <v>267.4835497835498</v>
      </c>
      <c r="S143" s="159">
        <f t="shared" si="44"/>
        <v>10.699300865800865</v>
      </c>
      <c r="T143" s="159">
        <f t="shared" si="44"/>
        <v>11.7387012987013</v>
      </c>
      <c r="U143" s="159">
        <f t="shared" si="44"/>
        <v>4.668181818181818</v>
      </c>
      <c r="V143" s="17">
        <f t="shared" si="44"/>
        <v>4.6818181818181825</v>
      </c>
      <c r="W143" s="11">
        <f t="shared" si="44"/>
        <v>0.30090909090909085</v>
      </c>
      <c r="X143" s="11">
        <f t="shared" si="44"/>
        <v>0.015269480519480521</v>
      </c>
      <c r="Y143" s="11">
        <f t="shared" si="44"/>
        <v>0.018636363636363635</v>
      </c>
      <c r="Z143" s="159">
        <f t="shared" si="44"/>
        <v>9.090909090909092</v>
      </c>
    </row>
    <row r="144" spans="1:15" ht="12.75">
      <c r="A144" s="107">
        <v>36265</v>
      </c>
      <c r="B144" s="109">
        <v>9999</v>
      </c>
      <c r="C144" s="110"/>
      <c r="D144" s="110">
        <v>7.74</v>
      </c>
      <c r="E144" s="116">
        <v>332</v>
      </c>
      <c r="F144" s="110">
        <v>10.87</v>
      </c>
      <c r="G144" s="110">
        <v>7.9</v>
      </c>
      <c r="H144" s="111"/>
      <c r="I144" s="112">
        <v>1</v>
      </c>
      <c r="J144" s="110">
        <v>0.2</v>
      </c>
      <c r="K144" s="114">
        <v>0.005</v>
      </c>
      <c r="L144" s="114">
        <v>0.01</v>
      </c>
      <c r="M144" s="112">
        <v>8</v>
      </c>
      <c r="N144" s="68"/>
      <c r="O144" s="68"/>
    </row>
    <row r="145" spans="1:15" ht="12.75">
      <c r="A145" s="133">
        <v>36265</v>
      </c>
      <c r="B145" s="134">
        <v>0.4236111111111111</v>
      </c>
      <c r="C145" s="135"/>
      <c r="D145" s="135">
        <v>7.74</v>
      </c>
      <c r="E145" s="136">
        <v>332</v>
      </c>
      <c r="F145" s="135">
        <v>10.87</v>
      </c>
      <c r="G145" s="135">
        <v>7.9</v>
      </c>
      <c r="H145" s="135"/>
      <c r="I145" s="137">
        <v>1</v>
      </c>
      <c r="J145" s="135">
        <v>0.1</v>
      </c>
      <c r="K145" s="114">
        <v>0.005</v>
      </c>
      <c r="L145" s="114">
        <v>0.01</v>
      </c>
      <c r="M145" s="137">
        <v>5</v>
      </c>
      <c r="N145" s="68"/>
      <c r="O145" s="68"/>
    </row>
    <row r="146" spans="1:15" ht="12.75">
      <c r="A146" s="107">
        <v>36299</v>
      </c>
      <c r="B146" s="108">
        <v>0.4444444444444444</v>
      </c>
      <c r="C146" s="110"/>
      <c r="D146" s="110">
        <v>7.64</v>
      </c>
      <c r="E146" s="116">
        <v>262</v>
      </c>
      <c r="F146" s="110">
        <v>15.71</v>
      </c>
      <c r="G146" s="110">
        <v>13.7</v>
      </c>
      <c r="H146" s="110">
        <v>4.6</v>
      </c>
      <c r="I146" s="112">
        <v>2</v>
      </c>
      <c r="J146" s="110">
        <v>0.4</v>
      </c>
      <c r="K146" s="114">
        <v>0.035</v>
      </c>
      <c r="L146" s="114">
        <v>0.04</v>
      </c>
      <c r="M146" s="112">
        <v>12</v>
      </c>
      <c r="N146" s="68"/>
      <c r="O146" s="68"/>
    </row>
    <row r="147" spans="1:15" ht="12" customHeight="1">
      <c r="A147" s="107">
        <v>36299</v>
      </c>
      <c r="B147" s="108">
        <v>0.4513888888888889</v>
      </c>
      <c r="C147" s="110">
        <v>1</v>
      </c>
      <c r="D147" s="110">
        <v>7.64</v>
      </c>
      <c r="E147" s="116">
        <v>262</v>
      </c>
      <c r="F147" s="110">
        <v>15.71</v>
      </c>
      <c r="G147" s="110">
        <v>13.7</v>
      </c>
      <c r="H147" s="110"/>
      <c r="I147" s="112">
        <v>1</v>
      </c>
      <c r="J147" s="110">
        <v>0.3</v>
      </c>
      <c r="K147" s="114">
        <v>0.033</v>
      </c>
      <c r="L147" s="114">
        <v>0.04</v>
      </c>
      <c r="M147" s="112">
        <v>10</v>
      </c>
      <c r="N147" s="68"/>
      <c r="O147" s="68"/>
    </row>
    <row r="148" spans="1:15" ht="12.75">
      <c r="A148" s="107">
        <v>36299</v>
      </c>
      <c r="B148" s="109">
        <v>9999</v>
      </c>
      <c r="C148" s="110"/>
      <c r="D148" s="139">
        <v>7.46</v>
      </c>
      <c r="E148" s="140">
        <v>349</v>
      </c>
      <c r="F148" s="139">
        <v>13.79</v>
      </c>
      <c r="G148" s="139">
        <v>11.6</v>
      </c>
      <c r="H148" s="110"/>
      <c r="I148" s="112">
        <v>19</v>
      </c>
      <c r="J148" s="110">
        <v>0.4</v>
      </c>
      <c r="K148" s="114">
        <v>0.085</v>
      </c>
      <c r="L148" s="114">
        <v>0.04</v>
      </c>
      <c r="M148" s="112">
        <v>56</v>
      </c>
      <c r="N148" s="68"/>
      <c r="O148" s="68"/>
    </row>
    <row r="149" spans="1:15" ht="12.75">
      <c r="A149" s="133">
        <v>36299</v>
      </c>
      <c r="B149" s="134">
        <v>0.4583333333333333</v>
      </c>
      <c r="C149" s="135"/>
      <c r="D149" s="135">
        <v>7.46</v>
      </c>
      <c r="E149" s="136">
        <v>349</v>
      </c>
      <c r="F149" s="135">
        <v>13.79</v>
      </c>
      <c r="G149" s="135">
        <v>11.6</v>
      </c>
      <c r="H149" s="135"/>
      <c r="I149" s="137">
        <v>26</v>
      </c>
      <c r="J149" s="135">
        <v>0.4</v>
      </c>
      <c r="K149" s="138">
        <v>0.081</v>
      </c>
      <c r="L149" s="138">
        <v>0.1</v>
      </c>
      <c r="M149" s="137">
        <v>42</v>
      </c>
      <c r="N149" s="68"/>
      <c r="O149" s="68"/>
    </row>
    <row r="150" spans="1:15" ht="12.75">
      <c r="A150" s="107">
        <v>36320</v>
      </c>
      <c r="B150" s="108">
        <v>0.46875</v>
      </c>
      <c r="C150" s="110"/>
      <c r="D150" s="110">
        <v>7.95</v>
      </c>
      <c r="E150" s="116">
        <v>200</v>
      </c>
      <c r="F150" s="110">
        <v>10.45</v>
      </c>
      <c r="G150" s="110">
        <v>16.6</v>
      </c>
      <c r="H150" s="110">
        <v>11</v>
      </c>
      <c r="I150" s="112">
        <v>15</v>
      </c>
      <c r="J150" s="110">
        <v>0.5</v>
      </c>
      <c r="K150" s="114">
        <v>0.035</v>
      </c>
      <c r="L150" s="114">
        <v>0.06</v>
      </c>
      <c r="M150" s="112">
        <v>20</v>
      </c>
      <c r="N150" s="81">
        <f>AVERAGE(H154:H173)</f>
        <v>3.016666666666667</v>
      </c>
      <c r="O150" s="66"/>
    </row>
    <row r="151" spans="1:15" ht="12.75">
      <c r="A151" s="107">
        <v>36320</v>
      </c>
      <c r="B151" s="109">
        <v>9999</v>
      </c>
      <c r="C151" s="110"/>
      <c r="D151" s="110">
        <v>7.95</v>
      </c>
      <c r="E151" s="116">
        <v>200</v>
      </c>
      <c r="F151" s="110">
        <v>10.45</v>
      </c>
      <c r="G151" s="110">
        <v>16.6</v>
      </c>
      <c r="H151" s="110"/>
      <c r="I151" s="112">
        <v>10</v>
      </c>
      <c r="J151" s="110">
        <v>0.5</v>
      </c>
      <c r="K151" s="114">
        <v>0.028</v>
      </c>
      <c r="L151" s="114">
        <v>0.06</v>
      </c>
      <c r="M151" s="112">
        <v>13</v>
      </c>
      <c r="N151" s="84"/>
      <c r="O151" s="84"/>
    </row>
    <row r="152" spans="1:15" ht="12.75">
      <c r="A152" s="107">
        <v>36320</v>
      </c>
      <c r="B152" s="108">
        <v>0.4791666666666667</v>
      </c>
      <c r="C152" s="110">
        <v>0.6</v>
      </c>
      <c r="D152" s="110">
        <v>7.95</v>
      </c>
      <c r="E152" s="116">
        <v>200</v>
      </c>
      <c r="F152" s="110">
        <v>10.45</v>
      </c>
      <c r="G152" s="110">
        <v>16.6</v>
      </c>
      <c r="H152" s="110"/>
      <c r="I152" s="112">
        <v>10</v>
      </c>
      <c r="J152" s="110">
        <v>0.3</v>
      </c>
      <c r="K152" s="114">
        <v>0.032</v>
      </c>
      <c r="L152" s="114">
        <v>0.06</v>
      </c>
      <c r="M152" s="112">
        <v>20</v>
      </c>
      <c r="N152" s="68"/>
      <c r="O152" s="68"/>
    </row>
    <row r="153" spans="1:15" ht="12.75">
      <c r="A153" s="133">
        <v>36320</v>
      </c>
      <c r="B153" s="134">
        <v>0.4895833333333333</v>
      </c>
      <c r="C153" s="135"/>
      <c r="D153" s="135">
        <v>7.04</v>
      </c>
      <c r="E153" s="136">
        <v>195</v>
      </c>
      <c r="F153" s="135">
        <v>9.54</v>
      </c>
      <c r="G153" s="135">
        <v>13.1</v>
      </c>
      <c r="H153" s="135"/>
      <c r="I153" s="137">
        <v>5</v>
      </c>
      <c r="J153" s="135">
        <v>0.2</v>
      </c>
      <c r="K153" s="138">
        <v>0.018</v>
      </c>
      <c r="L153" s="138">
        <v>0.02</v>
      </c>
      <c r="M153" s="137">
        <v>12</v>
      </c>
      <c r="N153" s="66"/>
      <c r="O153" s="66"/>
    </row>
    <row r="154" spans="1:15" ht="12.75">
      <c r="A154" s="141">
        <v>36348</v>
      </c>
      <c r="B154" s="142">
        <v>0.40972222222222227</v>
      </c>
      <c r="C154" s="139"/>
      <c r="D154" s="139">
        <v>7.95</v>
      </c>
      <c r="E154" s="140">
        <v>221</v>
      </c>
      <c r="F154" s="139">
        <v>8.87</v>
      </c>
      <c r="G154" s="139">
        <v>21.6</v>
      </c>
      <c r="H154" s="139">
        <v>0.6</v>
      </c>
      <c r="I154" s="143">
        <v>4</v>
      </c>
      <c r="J154" s="139">
        <v>0.1</v>
      </c>
      <c r="K154" s="144">
        <v>0.005</v>
      </c>
      <c r="L154" s="144">
        <v>0.02</v>
      </c>
      <c r="M154" s="143">
        <v>5</v>
      </c>
      <c r="N154" s="68"/>
      <c r="O154" s="68"/>
    </row>
    <row r="155" spans="1:15" ht="12.75">
      <c r="A155" s="141">
        <v>36348</v>
      </c>
      <c r="B155" s="142">
        <v>0.40277777777777773</v>
      </c>
      <c r="C155" s="139">
        <v>2</v>
      </c>
      <c r="D155" s="139">
        <v>7.95</v>
      </c>
      <c r="E155" s="140">
        <v>221</v>
      </c>
      <c r="F155" s="139">
        <v>8.87</v>
      </c>
      <c r="G155" s="139">
        <v>21.6</v>
      </c>
      <c r="H155" s="139"/>
      <c r="I155" s="143">
        <v>3</v>
      </c>
      <c r="J155" s="139">
        <v>0.1</v>
      </c>
      <c r="K155" s="144">
        <v>0.005</v>
      </c>
      <c r="L155" s="144">
        <v>0.01</v>
      </c>
      <c r="M155" s="143">
        <v>5</v>
      </c>
      <c r="N155" s="68"/>
      <c r="O155" s="68"/>
    </row>
    <row r="156" spans="1:15" ht="12.75">
      <c r="A156" s="133">
        <v>36348</v>
      </c>
      <c r="B156" s="134">
        <v>0.3923611111111111</v>
      </c>
      <c r="C156" s="135"/>
      <c r="D156" s="135">
        <v>7.43</v>
      </c>
      <c r="E156" s="136">
        <v>214</v>
      </c>
      <c r="F156" s="135">
        <v>6.44</v>
      </c>
      <c r="G156" s="135">
        <v>16.3</v>
      </c>
      <c r="H156" s="135"/>
      <c r="I156" s="137">
        <v>1</v>
      </c>
      <c r="J156" s="135">
        <v>0.3</v>
      </c>
      <c r="K156" s="138">
        <v>0.014</v>
      </c>
      <c r="L156" s="138">
        <v>0.02</v>
      </c>
      <c r="M156" s="143">
        <v>5</v>
      </c>
      <c r="N156" s="66"/>
      <c r="O156" s="66"/>
    </row>
    <row r="157" spans="1:15" ht="12.75">
      <c r="A157" s="107">
        <v>36362</v>
      </c>
      <c r="B157" s="108">
        <v>0.4236111111111111</v>
      </c>
      <c r="C157" s="110"/>
      <c r="D157" s="110">
        <v>7.76</v>
      </c>
      <c r="E157" s="116">
        <v>229</v>
      </c>
      <c r="F157" s="110">
        <v>8.98</v>
      </c>
      <c r="G157" s="110">
        <v>21.3</v>
      </c>
      <c r="H157" s="110">
        <v>3.4</v>
      </c>
      <c r="I157" s="112"/>
      <c r="J157" s="110">
        <v>1</v>
      </c>
      <c r="K157" s="114">
        <v>0.005</v>
      </c>
      <c r="L157" s="114">
        <v>0.01</v>
      </c>
      <c r="M157" s="143">
        <v>5</v>
      </c>
      <c r="N157" s="68"/>
      <c r="O157" s="68"/>
    </row>
    <row r="158" spans="1:15" ht="12.75">
      <c r="A158" s="107">
        <v>36362</v>
      </c>
      <c r="B158" s="108">
        <v>0.43402777777777773</v>
      </c>
      <c r="C158" s="110">
        <v>2</v>
      </c>
      <c r="D158" s="110">
        <v>7.76</v>
      </c>
      <c r="E158" s="116">
        <v>229</v>
      </c>
      <c r="F158" s="110">
        <v>8.98</v>
      </c>
      <c r="G158" s="110">
        <v>21.3</v>
      </c>
      <c r="H158" s="110"/>
      <c r="I158" s="114"/>
      <c r="J158" s="110">
        <v>1.2</v>
      </c>
      <c r="K158" s="114">
        <v>0.005</v>
      </c>
      <c r="L158" s="114">
        <v>0.02</v>
      </c>
      <c r="M158" s="143">
        <v>5</v>
      </c>
      <c r="N158" s="68"/>
      <c r="O158" s="68"/>
    </row>
    <row r="159" spans="1:15" ht="12.75">
      <c r="A159" s="133">
        <v>36362</v>
      </c>
      <c r="B159" s="134">
        <v>0.4444444444444444</v>
      </c>
      <c r="C159" s="135"/>
      <c r="D159" s="135">
        <v>7.37</v>
      </c>
      <c r="E159" s="136">
        <v>225</v>
      </c>
      <c r="F159" s="135">
        <v>4.8</v>
      </c>
      <c r="G159" s="135">
        <v>18.6</v>
      </c>
      <c r="H159" s="135"/>
      <c r="I159" s="137"/>
      <c r="J159" s="135">
        <v>0.3</v>
      </c>
      <c r="K159" s="138">
        <v>0.032</v>
      </c>
      <c r="L159" s="138">
        <v>0.02</v>
      </c>
      <c r="M159" s="137">
        <v>22</v>
      </c>
      <c r="N159" s="68"/>
      <c r="O159" s="68"/>
    </row>
    <row r="160" spans="1:15" ht="12.75">
      <c r="A160" s="107">
        <v>36376</v>
      </c>
      <c r="B160" s="108">
        <v>0.4270833333333333</v>
      </c>
      <c r="C160" s="110"/>
      <c r="D160" s="110">
        <v>8.06</v>
      </c>
      <c r="E160" s="116">
        <v>216</v>
      </c>
      <c r="F160" s="110">
        <v>8.67</v>
      </c>
      <c r="G160" s="110">
        <v>20.6</v>
      </c>
      <c r="H160" s="110">
        <v>3.3</v>
      </c>
      <c r="I160" s="112">
        <v>1</v>
      </c>
      <c r="J160" s="110">
        <v>0.5</v>
      </c>
      <c r="K160" s="114">
        <v>0.017</v>
      </c>
      <c r="L160" s="114">
        <v>0.02</v>
      </c>
      <c r="M160" s="112">
        <v>14</v>
      </c>
      <c r="N160" s="89"/>
      <c r="O160" s="88"/>
    </row>
    <row r="161" spans="1:15" ht="12.75">
      <c r="A161" s="107">
        <v>36376</v>
      </c>
      <c r="B161" s="108">
        <v>0.4236111111111111</v>
      </c>
      <c r="C161" s="110">
        <v>2</v>
      </c>
      <c r="D161" s="110">
        <v>8.06</v>
      </c>
      <c r="E161" s="116">
        <v>216</v>
      </c>
      <c r="F161" s="110">
        <v>8.67</v>
      </c>
      <c r="G161" s="110">
        <v>20.6</v>
      </c>
      <c r="H161" s="110"/>
      <c r="I161" s="112">
        <v>1</v>
      </c>
      <c r="J161" s="110">
        <v>0.4</v>
      </c>
      <c r="K161" s="114">
        <v>0.009</v>
      </c>
      <c r="L161" s="114">
        <v>0.02</v>
      </c>
      <c r="M161" s="112">
        <v>10</v>
      </c>
      <c r="N161" s="67"/>
      <c r="O161" s="67"/>
    </row>
    <row r="162" spans="1:15" ht="12.75">
      <c r="A162" s="133">
        <v>36376</v>
      </c>
      <c r="B162" s="134">
        <v>0.4201388888888889</v>
      </c>
      <c r="C162" s="135"/>
      <c r="D162" s="135">
        <v>7.36</v>
      </c>
      <c r="E162" s="136">
        <v>200</v>
      </c>
      <c r="F162" s="135">
        <v>7.11</v>
      </c>
      <c r="G162" s="135">
        <v>18.2</v>
      </c>
      <c r="H162" s="135"/>
      <c r="I162" s="137">
        <v>19</v>
      </c>
      <c r="J162" s="135">
        <v>0.5</v>
      </c>
      <c r="K162" s="138">
        <v>0.096</v>
      </c>
      <c r="L162" s="138">
        <v>0.08</v>
      </c>
      <c r="M162" s="137">
        <v>90</v>
      </c>
      <c r="N162" s="40"/>
      <c r="O162" s="40"/>
    </row>
    <row r="163" spans="1:15" ht="12.75">
      <c r="A163" s="107">
        <v>36390</v>
      </c>
      <c r="B163" s="108">
        <v>0.4166666666666667</v>
      </c>
      <c r="C163" s="110"/>
      <c r="D163" s="110">
        <v>8.1</v>
      </c>
      <c r="E163" s="116">
        <v>215</v>
      </c>
      <c r="F163" s="110">
        <v>8.61</v>
      </c>
      <c r="G163" s="110">
        <v>20.3</v>
      </c>
      <c r="H163" s="110">
        <v>3.6</v>
      </c>
      <c r="I163" s="112"/>
      <c r="J163" s="110">
        <v>0.4</v>
      </c>
      <c r="K163" s="114">
        <v>0.005</v>
      </c>
      <c r="L163" s="114">
        <v>0.01</v>
      </c>
      <c r="M163" s="112">
        <v>5</v>
      </c>
      <c r="N163" s="61"/>
      <c r="O163" s="61"/>
    </row>
    <row r="164" spans="1:15" ht="12.75">
      <c r="A164" s="107">
        <v>36390</v>
      </c>
      <c r="B164" s="109">
        <v>9999</v>
      </c>
      <c r="C164" s="110"/>
      <c r="D164" s="110">
        <v>8.1</v>
      </c>
      <c r="E164" s="116">
        <v>215</v>
      </c>
      <c r="F164" s="110">
        <v>8.61</v>
      </c>
      <c r="G164" s="110">
        <v>20.3</v>
      </c>
      <c r="H164" s="110"/>
      <c r="I164" s="112"/>
      <c r="J164" s="110">
        <v>0.3</v>
      </c>
      <c r="K164" s="114">
        <v>0.005</v>
      </c>
      <c r="L164" s="114">
        <v>0.01</v>
      </c>
      <c r="M164" s="112">
        <v>5</v>
      </c>
      <c r="N164" s="40"/>
      <c r="O164" s="40"/>
    </row>
    <row r="165" spans="1:15" ht="12.75">
      <c r="A165" s="107">
        <v>36390</v>
      </c>
      <c r="B165" s="108">
        <v>0.40625</v>
      </c>
      <c r="C165" s="110">
        <v>3.5</v>
      </c>
      <c r="D165" s="110">
        <v>8.1</v>
      </c>
      <c r="E165" s="116">
        <v>215</v>
      </c>
      <c r="F165" s="110">
        <v>8.63</v>
      </c>
      <c r="G165" s="110">
        <v>20.2</v>
      </c>
      <c r="H165" s="110"/>
      <c r="I165" s="112"/>
      <c r="J165" s="110">
        <v>0.2</v>
      </c>
      <c r="K165" s="114">
        <v>0.005</v>
      </c>
      <c r="L165" s="114">
        <v>0.01</v>
      </c>
      <c r="M165" s="112">
        <v>5</v>
      </c>
      <c r="N165" s="40"/>
      <c r="O165" s="40"/>
    </row>
    <row r="166" spans="1:15" ht="12.75">
      <c r="A166" s="133">
        <v>36390</v>
      </c>
      <c r="B166" s="134">
        <v>0.3958333333333333</v>
      </c>
      <c r="C166" s="135"/>
      <c r="D166" s="135">
        <v>7.31</v>
      </c>
      <c r="E166" s="136">
        <v>212</v>
      </c>
      <c r="F166" s="135">
        <v>6.19</v>
      </c>
      <c r="G166" s="135">
        <v>18.4</v>
      </c>
      <c r="H166" s="135"/>
      <c r="I166" s="137"/>
      <c r="J166" s="135">
        <v>0.3</v>
      </c>
      <c r="K166" s="114">
        <v>0.005</v>
      </c>
      <c r="L166" s="114">
        <v>0.01</v>
      </c>
      <c r="M166" s="112">
        <v>5</v>
      </c>
      <c r="N166" s="75"/>
      <c r="O166" s="75"/>
    </row>
    <row r="167" spans="1:15" ht="12.75">
      <c r="A167" s="107">
        <v>36404</v>
      </c>
      <c r="B167" s="108">
        <v>0.3854166666666667</v>
      </c>
      <c r="C167" s="110"/>
      <c r="D167" s="110">
        <v>8.12</v>
      </c>
      <c r="E167" s="116">
        <v>218</v>
      </c>
      <c r="F167" s="110">
        <v>8.9</v>
      </c>
      <c r="G167" s="110">
        <v>21.1</v>
      </c>
      <c r="H167" s="110">
        <v>3.2</v>
      </c>
      <c r="I167" s="112">
        <v>1</v>
      </c>
      <c r="J167" s="110">
        <v>0.1</v>
      </c>
      <c r="K167" s="114">
        <v>0.005</v>
      </c>
      <c r="L167" s="114">
        <v>0.01</v>
      </c>
      <c r="M167" s="112">
        <v>5</v>
      </c>
      <c r="N167" s="75"/>
      <c r="O167" s="75"/>
    </row>
    <row r="168" spans="1:15" ht="12.75">
      <c r="A168" s="107">
        <v>36404</v>
      </c>
      <c r="B168" s="108">
        <v>0.3958333333333333</v>
      </c>
      <c r="C168" s="110">
        <v>2</v>
      </c>
      <c r="D168" s="110">
        <v>8.12</v>
      </c>
      <c r="E168" s="116">
        <v>218</v>
      </c>
      <c r="F168" s="110">
        <v>8.9</v>
      </c>
      <c r="G168" s="110">
        <v>21.1</v>
      </c>
      <c r="H168" s="110"/>
      <c r="I168" s="112">
        <v>2</v>
      </c>
      <c r="J168" s="110">
        <v>0.2</v>
      </c>
      <c r="K168" s="114">
        <v>0.005</v>
      </c>
      <c r="L168" s="114">
        <v>0.01</v>
      </c>
      <c r="M168" s="112">
        <v>5</v>
      </c>
      <c r="N168" s="75"/>
      <c r="O168" s="75"/>
    </row>
    <row r="169" spans="1:15" ht="12.75">
      <c r="A169" s="107">
        <v>36404</v>
      </c>
      <c r="B169" s="109">
        <v>9999</v>
      </c>
      <c r="C169" s="110"/>
      <c r="D169" s="110">
        <v>8.1</v>
      </c>
      <c r="E169" s="116">
        <v>218</v>
      </c>
      <c r="F169" s="110">
        <v>8.9</v>
      </c>
      <c r="G169" s="110">
        <v>21.1</v>
      </c>
      <c r="H169" s="110"/>
      <c r="I169" s="112">
        <v>1</v>
      </c>
      <c r="J169" s="110">
        <v>0.1</v>
      </c>
      <c r="K169" s="114">
        <v>0.005</v>
      </c>
      <c r="L169" s="114">
        <v>0.01</v>
      </c>
      <c r="M169" s="112">
        <v>12</v>
      </c>
      <c r="N169" s="152"/>
      <c r="O169" s="75"/>
    </row>
    <row r="170" spans="1:15" ht="12.75">
      <c r="A170" s="133">
        <v>36404</v>
      </c>
      <c r="B170" s="134">
        <v>0.40625</v>
      </c>
      <c r="C170" s="135"/>
      <c r="D170" s="135">
        <v>7.46</v>
      </c>
      <c r="E170" s="136">
        <v>209</v>
      </c>
      <c r="F170" s="135">
        <v>4.17</v>
      </c>
      <c r="G170" s="135">
        <v>18.5</v>
      </c>
      <c r="H170" s="135"/>
      <c r="I170" s="137">
        <v>4</v>
      </c>
      <c r="J170" s="135">
        <v>0.2</v>
      </c>
      <c r="K170" s="138">
        <v>0.008</v>
      </c>
      <c r="L170" s="138">
        <v>0.01</v>
      </c>
      <c r="M170" s="137">
        <v>12</v>
      </c>
      <c r="N170" s="153"/>
      <c r="O170" s="47"/>
    </row>
    <row r="171" spans="1:15" ht="12.75">
      <c r="A171" s="107">
        <v>36418</v>
      </c>
      <c r="B171" s="108">
        <v>0.40625</v>
      </c>
      <c r="C171" s="110"/>
      <c r="D171" s="110">
        <v>7.36</v>
      </c>
      <c r="E171" s="116">
        <v>226</v>
      </c>
      <c r="F171" s="110">
        <v>7.54</v>
      </c>
      <c r="G171" s="110">
        <v>17.8</v>
      </c>
      <c r="H171" s="110">
        <v>4</v>
      </c>
      <c r="I171" s="112"/>
      <c r="J171" s="110">
        <v>0.7</v>
      </c>
      <c r="K171" s="114">
        <v>0.02</v>
      </c>
      <c r="L171" s="114">
        <v>0.011</v>
      </c>
      <c r="M171" s="112">
        <v>5</v>
      </c>
      <c r="N171" s="47"/>
      <c r="O171" s="47"/>
    </row>
    <row r="172" spans="1:15" ht="12.75">
      <c r="A172" s="107">
        <v>36418</v>
      </c>
      <c r="B172" s="108">
        <v>0.4166666666666667</v>
      </c>
      <c r="C172" s="110">
        <v>2</v>
      </c>
      <c r="D172" s="110">
        <v>7.36</v>
      </c>
      <c r="E172" s="116">
        <v>226</v>
      </c>
      <c r="F172" s="110">
        <v>7.54</v>
      </c>
      <c r="G172" s="110">
        <v>17.8</v>
      </c>
      <c r="H172" s="110"/>
      <c r="I172" s="112"/>
      <c r="J172" s="110">
        <v>0.1</v>
      </c>
      <c r="K172" s="114">
        <v>0.012</v>
      </c>
      <c r="L172" s="114">
        <v>0.01</v>
      </c>
      <c r="M172" s="112">
        <v>5</v>
      </c>
      <c r="N172" s="47"/>
      <c r="O172" s="47"/>
    </row>
    <row r="173" spans="1:15" ht="12.75">
      <c r="A173" s="133">
        <v>36418</v>
      </c>
      <c r="B173" s="134">
        <v>0.4270833333333333</v>
      </c>
      <c r="C173" s="135"/>
      <c r="D173" s="135">
        <v>5.93</v>
      </c>
      <c r="E173" s="136">
        <v>227</v>
      </c>
      <c r="F173" s="135">
        <v>7.54</v>
      </c>
      <c r="G173" s="135">
        <v>17.6</v>
      </c>
      <c r="H173" s="135"/>
      <c r="I173" s="137"/>
      <c r="J173" s="135">
        <v>0.8</v>
      </c>
      <c r="K173" s="138">
        <v>0.011</v>
      </c>
      <c r="L173" s="138">
        <v>0.02</v>
      </c>
      <c r="M173" s="137">
        <v>8</v>
      </c>
      <c r="N173" s="47"/>
      <c r="O173" s="47"/>
    </row>
    <row r="174" spans="1:15" ht="12.75">
      <c r="A174" s="107">
        <v>36446</v>
      </c>
      <c r="B174" s="108">
        <v>0.40972222222222227</v>
      </c>
      <c r="C174" s="110"/>
      <c r="D174" s="110">
        <v>7.97</v>
      </c>
      <c r="E174" s="116">
        <v>243</v>
      </c>
      <c r="F174" s="110">
        <v>10.6</v>
      </c>
      <c r="G174" s="110">
        <v>13.3</v>
      </c>
      <c r="H174" s="110">
        <v>7.3</v>
      </c>
      <c r="I174" s="112">
        <v>8</v>
      </c>
      <c r="J174" s="110">
        <v>0.3</v>
      </c>
      <c r="K174" s="114">
        <v>0.01</v>
      </c>
      <c r="L174" s="114">
        <v>0.02</v>
      </c>
      <c r="M174" s="112">
        <v>10</v>
      </c>
      <c r="N174" s="154"/>
      <c r="O174" s="154"/>
    </row>
    <row r="175" spans="1:15" ht="12.75">
      <c r="A175" s="107">
        <v>36446</v>
      </c>
      <c r="B175" s="109">
        <v>9999</v>
      </c>
      <c r="C175" s="110"/>
      <c r="D175" s="110">
        <v>7.97</v>
      </c>
      <c r="E175" s="116">
        <v>243</v>
      </c>
      <c r="F175" s="110">
        <v>10.6</v>
      </c>
      <c r="G175" s="110">
        <v>13.3</v>
      </c>
      <c r="H175" s="110"/>
      <c r="I175" s="112">
        <v>8</v>
      </c>
      <c r="J175" s="110">
        <v>0.3</v>
      </c>
      <c r="K175" s="114">
        <v>0.008</v>
      </c>
      <c r="L175" s="114">
        <v>0.01</v>
      </c>
      <c r="M175" s="112">
        <v>12</v>
      </c>
      <c r="N175" s="7"/>
      <c r="O175" s="7"/>
    </row>
    <row r="176" spans="1:15" ht="12.75">
      <c r="A176" s="107">
        <v>36446</v>
      </c>
      <c r="B176" s="108">
        <v>0.4201388888888889</v>
      </c>
      <c r="C176" s="110">
        <v>2.5</v>
      </c>
      <c r="D176" s="110">
        <v>7.97</v>
      </c>
      <c r="E176" s="116">
        <v>243</v>
      </c>
      <c r="F176" s="110">
        <v>10.6</v>
      </c>
      <c r="G176" s="110">
        <v>13.3</v>
      </c>
      <c r="H176" s="110"/>
      <c r="I176" s="112">
        <v>7</v>
      </c>
      <c r="J176" s="110">
        <v>0.3</v>
      </c>
      <c r="K176" s="114">
        <v>0.01</v>
      </c>
      <c r="L176" s="114">
        <v>0.03</v>
      </c>
      <c r="M176" s="112">
        <v>10</v>
      </c>
      <c r="N176" s="7"/>
      <c r="O176" s="7"/>
    </row>
    <row r="177" spans="1:15" ht="12.75">
      <c r="A177" s="133">
        <v>36446</v>
      </c>
      <c r="B177" s="134">
        <v>0.4305555555555556</v>
      </c>
      <c r="C177" s="135"/>
      <c r="D177" s="135">
        <v>7.24</v>
      </c>
      <c r="E177" s="136">
        <v>246</v>
      </c>
      <c r="F177" s="135">
        <v>10.6</v>
      </c>
      <c r="G177" s="135">
        <v>13.2</v>
      </c>
      <c r="H177" s="135"/>
      <c r="I177" s="137">
        <v>15</v>
      </c>
      <c r="J177" s="135">
        <v>0.1</v>
      </c>
      <c r="K177" s="138">
        <v>0.01</v>
      </c>
      <c r="L177" s="138">
        <v>0.01</v>
      </c>
      <c r="M177" s="137">
        <v>14</v>
      </c>
      <c r="N177" s="7"/>
      <c r="O177" s="7"/>
    </row>
    <row r="178" spans="1:15" ht="12.75">
      <c r="A178" s="107">
        <v>36474</v>
      </c>
      <c r="B178" s="108">
        <v>0.40972222222222227</v>
      </c>
      <c r="C178" s="110"/>
      <c r="D178" s="110">
        <v>7.64</v>
      </c>
      <c r="E178" s="116">
        <v>254</v>
      </c>
      <c r="F178" s="110">
        <v>11.09</v>
      </c>
      <c r="G178" s="110">
        <v>8.8</v>
      </c>
      <c r="H178" s="110">
        <v>5.3</v>
      </c>
      <c r="I178" s="112">
        <v>4</v>
      </c>
      <c r="J178" s="110">
        <v>0.2</v>
      </c>
      <c r="K178" s="114">
        <v>0.005</v>
      </c>
      <c r="L178" s="114">
        <v>0.01</v>
      </c>
      <c r="M178" s="112">
        <v>5</v>
      </c>
      <c r="N178" s="7"/>
      <c r="O178" s="7"/>
    </row>
    <row r="179" spans="1:15" ht="12.75">
      <c r="A179" s="107">
        <v>36474</v>
      </c>
      <c r="B179" s="108">
        <v>0.4166666666666667</v>
      </c>
      <c r="C179" s="110">
        <v>2</v>
      </c>
      <c r="D179" s="110">
        <v>7.64</v>
      </c>
      <c r="E179" s="116">
        <v>254</v>
      </c>
      <c r="F179" s="110">
        <v>11.09</v>
      </c>
      <c r="G179" s="110">
        <v>8.8</v>
      </c>
      <c r="H179" s="110"/>
      <c r="I179" s="112">
        <v>2</v>
      </c>
      <c r="J179" s="110">
        <v>0.1</v>
      </c>
      <c r="K179" s="114">
        <v>0.005</v>
      </c>
      <c r="L179" s="114">
        <v>0.01</v>
      </c>
      <c r="M179" s="112">
        <v>5</v>
      </c>
      <c r="N179" s="7"/>
      <c r="O179" s="7"/>
    </row>
    <row r="180" spans="1:15" ht="12.75">
      <c r="A180" s="133">
        <v>36474</v>
      </c>
      <c r="B180" s="134">
        <v>0.4270833333333333</v>
      </c>
      <c r="C180" s="135"/>
      <c r="D180" s="135">
        <v>6.95</v>
      </c>
      <c r="E180" s="136">
        <v>263</v>
      </c>
      <c r="F180" s="135">
        <v>11.67</v>
      </c>
      <c r="G180" s="135">
        <v>8.6</v>
      </c>
      <c r="H180" s="135"/>
      <c r="I180" s="137">
        <v>7</v>
      </c>
      <c r="J180" s="135">
        <v>0.2</v>
      </c>
      <c r="K180" s="114">
        <v>0.005</v>
      </c>
      <c r="L180" s="138">
        <v>0.01</v>
      </c>
      <c r="M180" s="112">
        <v>5</v>
      </c>
      <c r="N180" s="7"/>
      <c r="O180" s="7"/>
    </row>
    <row r="181" spans="1:15" ht="12.75">
      <c r="A181" s="107">
        <v>36509</v>
      </c>
      <c r="B181" s="108">
        <v>0.4270833333333333</v>
      </c>
      <c r="C181" s="110"/>
      <c r="D181" s="110">
        <v>7.54</v>
      </c>
      <c r="E181" s="116">
        <v>291</v>
      </c>
      <c r="F181" s="110">
        <v>11.31</v>
      </c>
      <c r="G181" s="110">
        <v>2</v>
      </c>
      <c r="H181" s="110">
        <v>1.9</v>
      </c>
      <c r="I181" s="112">
        <v>1</v>
      </c>
      <c r="J181" s="110">
        <v>0.4</v>
      </c>
      <c r="K181" s="114">
        <v>0.009</v>
      </c>
      <c r="L181" s="138">
        <v>0.01</v>
      </c>
      <c r="M181" s="112">
        <v>5</v>
      </c>
      <c r="N181" s="7"/>
      <c r="O181" s="7"/>
    </row>
    <row r="182" spans="1:15" ht="12.75">
      <c r="A182" s="107">
        <v>36509</v>
      </c>
      <c r="B182" s="108">
        <v>0.4375</v>
      </c>
      <c r="C182" s="110">
        <v>2.5</v>
      </c>
      <c r="D182" s="110">
        <v>7.54</v>
      </c>
      <c r="E182" s="116">
        <v>291</v>
      </c>
      <c r="F182" s="110">
        <v>11.31</v>
      </c>
      <c r="G182" s="110">
        <v>2</v>
      </c>
      <c r="H182" s="110"/>
      <c r="I182" s="112">
        <v>1</v>
      </c>
      <c r="J182" s="110">
        <v>0.2</v>
      </c>
      <c r="K182" s="114">
        <v>0.007</v>
      </c>
      <c r="L182" s="138">
        <v>0.01</v>
      </c>
      <c r="M182" s="112">
        <v>5</v>
      </c>
      <c r="N182" s="7"/>
      <c r="O182" s="7"/>
    </row>
    <row r="183" spans="1:15" ht="12.75">
      <c r="A183" s="133">
        <v>36509</v>
      </c>
      <c r="B183" s="134">
        <v>0.4479166666666667</v>
      </c>
      <c r="C183" s="135"/>
      <c r="D183" s="135">
        <v>6.74</v>
      </c>
      <c r="E183" s="136">
        <v>291</v>
      </c>
      <c r="F183" s="135">
        <v>10.56</v>
      </c>
      <c r="G183" s="135">
        <v>2.1</v>
      </c>
      <c r="H183" s="135"/>
      <c r="I183" s="137">
        <v>1</v>
      </c>
      <c r="J183" s="135">
        <v>0.2</v>
      </c>
      <c r="K183" s="138">
        <v>0.006</v>
      </c>
      <c r="L183" s="114">
        <v>0.01</v>
      </c>
      <c r="M183" s="112">
        <v>5</v>
      </c>
      <c r="N183" s="7"/>
      <c r="O183" s="7"/>
    </row>
    <row r="184" spans="1:15" ht="12.75">
      <c r="A184" s="102"/>
      <c r="B184" s="102"/>
      <c r="C184" s="145">
        <f aca="true" t="shared" si="45" ref="C184:M184">AVERAGE(C131:C183)</f>
        <v>2.14</v>
      </c>
      <c r="D184" s="145">
        <f t="shared" si="45"/>
        <v>7.667924528301889</v>
      </c>
      <c r="E184" s="145">
        <f t="shared" si="45"/>
        <v>264.1132075471698</v>
      </c>
      <c r="F184" s="145">
        <f t="shared" si="45"/>
        <v>10.306037735849056</v>
      </c>
      <c r="G184" s="145">
        <f t="shared" si="45"/>
        <v>12.973584905660376</v>
      </c>
      <c r="H184" s="145">
        <f t="shared" si="45"/>
        <v>4.3125</v>
      </c>
      <c r="I184" s="145">
        <f t="shared" si="45"/>
        <v>4.595238095238095</v>
      </c>
      <c r="J184" s="145">
        <f t="shared" si="45"/>
        <v>0.30961538461538457</v>
      </c>
      <c r="K184" s="151">
        <f t="shared" si="45"/>
        <v>0.014754716981132083</v>
      </c>
      <c r="L184" s="151">
        <f t="shared" si="45"/>
        <v>0.019826923076923082</v>
      </c>
      <c r="M184" s="151">
        <f t="shared" si="45"/>
        <v>11.25</v>
      </c>
      <c r="N184" s="7"/>
      <c r="O184" s="7"/>
    </row>
    <row r="185" spans="1:19" ht="12.75">
      <c r="A185" s="146"/>
      <c r="B185" s="147"/>
      <c r="C185" s="101"/>
      <c r="D185" s="101"/>
      <c r="E185" s="101"/>
      <c r="F185" s="101"/>
      <c r="G185" s="101"/>
      <c r="H185" s="101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22.5">
      <c r="A186" s="91" t="s">
        <v>161</v>
      </c>
      <c r="B186" s="90">
        <v>1998</v>
      </c>
      <c r="C186" s="92">
        <v>1999</v>
      </c>
      <c r="D186" s="101"/>
      <c r="E186" s="101"/>
      <c r="F186" s="101"/>
      <c r="G186" s="101"/>
      <c r="H186" s="10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91" t="s">
        <v>162</v>
      </c>
      <c r="B187" s="90">
        <v>6.9</v>
      </c>
      <c r="C187" s="162">
        <f>MAX(H131:H183)</f>
        <v>11</v>
      </c>
      <c r="D187" s="101"/>
      <c r="E187" s="101"/>
      <c r="F187" s="101"/>
      <c r="G187" s="101"/>
      <c r="H187" s="101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91" t="s">
        <v>163</v>
      </c>
      <c r="B188" s="90">
        <v>4.2</v>
      </c>
      <c r="C188" s="162">
        <f>AVERAGE(H131:H183)</f>
        <v>4.3125</v>
      </c>
      <c r="D188" s="101"/>
      <c r="E188" s="101"/>
      <c r="F188" s="101"/>
      <c r="G188" s="101"/>
      <c r="H188" s="101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91" t="s">
        <v>164</v>
      </c>
      <c r="B189" s="90">
        <v>3.3</v>
      </c>
      <c r="C189" s="162">
        <f>AVERAGE(H146:H173)</f>
        <v>4.2125</v>
      </c>
      <c r="D189" s="101"/>
      <c r="E189" s="101"/>
      <c r="F189" s="101"/>
      <c r="G189" s="101"/>
      <c r="H189" s="10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90" t="s">
        <v>165</v>
      </c>
      <c r="B190" s="90">
        <v>2.6</v>
      </c>
      <c r="C190" s="162">
        <f>AVERAGE(C131:C183)</f>
        <v>2.14</v>
      </c>
      <c r="D190" s="101"/>
      <c r="E190" s="101"/>
      <c r="F190" s="101"/>
      <c r="G190" s="101"/>
      <c r="H190" s="101"/>
      <c r="I190" s="101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90" t="s">
        <v>166</v>
      </c>
      <c r="B191" s="90">
        <v>3.1</v>
      </c>
      <c r="C191" s="162">
        <f>AVERAGE(C147:C173)</f>
        <v>1.8875</v>
      </c>
      <c r="D191" s="101"/>
      <c r="E191" s="7"/>
      <c r="F191" s="101"/>
      <c r="G191" s="101"/>
      <c r="H191" s="101"/>
      <c r="I191" s="101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90" t="s">
        <v>167</v>
      </c>
      <c r="B192" s="90">
        <v>17</v>
      </c>
      <c r="C192" s="162">
        <v>20</v>
      </c>
      <c r="D192" s="101"/>
      <c r="E192" s="7"/>
      <c r="F192" s="148"/>
      <c r="G192" s="149"/>
      <c r="H192" s="149"/>
      <c r="I192" s="101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90" t="s">
        <v>168</v>
      </c>
      <c r="B193" s="90">
        <v>19.3</v>
      </c>
      <c r="C193" s="162">
        <v>27</v>
      </c>
      <c r="D193" s="101"/>
      <c r="E193" s="7"/>
      <c r="F193" s="150"/>
      <c r="G193" s="147"/>
      <c r="H193" s="147"/>
      <c r="I193" s="101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90" t="s">
        <v>171</v>
      </c>
      <c r="B194" s="90">
        <v>46</v>
      </c>
      <c r="C194" s="162">
        <v>100</v>
      </c>
      <c r="D194" s="101"/>
      <c r="E194" s="7"/>
      <c r="F194" s="150"/>
      <c r="G194" s="147"/>
      <c r="H194" s="147"/>
      <c r="I194" s="101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90" t="s">
        <v>172</v>
      </c>
      <c r="B195" s="163">
        <v>207700</v>
      </c>
      <c r="C195" s="161">
        <v>194300</v>
      </c>
      <c r="D195" s="101"/>
      <c r="E195" s="7"/>
      <c r="F195" s="150"/>
      <c r="G195" s="147"/>
      <c r="H195" s="147"/>
      <c r="I195" s="101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90" t="s">
        <v>173</v>
      </c>
      <c r="B196" s="163">
        <v>58429</v>
      </c>
      <c r="C196" s="163">
        <v>56712</v>
      </c>
      <c r="D196" s="101"/>
      <c r="E196" s="7"/>
      <c r="F196" s="150"/>
      <c r="G196" s="147"/>
      <c r="H196" s="147"/>
      <c r="I196" s="101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90" t="s">
        <v>174</v>
      </c>
      <c r="B197" s="163">
        <v>106635</v>
      </c>
      <c r="C197" s="163">
        <v>113700</v>
      </c>
      <c r="D197" s="101"/>
      <c r="E197" s="7"/>
      <c r="F197" s="150"/>
      <c r="G197" s="147"/>
      <c r="H197" s="147"/>
      <c r="I197" s="101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90" t="s">
        <v>175</v>
      </c>
      <c r="B198" s="163">
        <v>44452000</v>
      </c>
      <c r="C198" s="163">
        <v>94041000</v>
      </c>
      <c r="D198" s="101"/>
      <c r="E198" s="7"/>
      <c r="F198" s="150"/>
      <c r="G198" s="147"/>
      <c r="H198" s="147"/>
      <c r="I198" s="101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90" t="s">
        <v>25</v>
      </c>
      <c r="B199" s="90" t="s">
        <v>177</v>
      </c>
      <c r="C199" s="92" t="s">
        <v>178</v>
      </c>
      <c r="D199" s="101"/>
      <c r="E199" s="7"/>
      <c r="F199" s="150"/>
      <c r="G199" s="147"/>
      <c r="H199" s="147"/>
      <c r="I199" s="101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90" t="s">
        <v>30</v>
      </c>
      <c r="B200" s="90" t="s">
        <v>176</v>
      </c>
      <c r="C200" s="92" t="s">
        <v>179</v>
      </c>
      <c r="D200" s="101"/>
      <c r="E200" s="7"/>
      <c r="F200" s="150"/>
      <c r="G200" s="147"/>
      <c r="H200" s="147"/>
      <c r="I200" s="101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150"/>
      <c r="G201" s="147"/>
      <c r="H201" s="147"/>
      <c r="I201" s="101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150"/>
      <c r="G202" s="147"/>
      <c r="H202" s="147"/>
      <c r="I202" s="101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101"/>
      <c r="G203" s="101"/>
      <c r="H203" s="101"/>
      <c r="I203" s="101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87"/>
      <c r="C213" s="8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93"/>
      <c r="B214" s="87"/>
      <c r="C214" s="8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87"/>
      <c r="C224" s="8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9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34"/>
      <c r="B228" s="34"/>
      <c r="C228" s="38"/>
      <c r="D228" s="36"/>
      <c r="E228" s="38"/>
      <c r="F228" s="34"/>
      <c r="G228" s="35"/>
      <c r="H228" s="35"/>
      <c r="I228" s="60"/>
      <c r="J228" s="34"/>
      <c r="K228" s="60"/>
      <c r="L228" s="60"/>
      <c r="M228" s="34"/>
      <c r="N228" s="34"/>
      <c r="O228" s="37"/>
      <c r="P228" s="60"/>
      <c r="Q228" s="37"/>
      <c r="R228" s="37"/>
      <c r="S228" s="60"/>
    </row>
    <row r="229" spans="1:19" ht="12.75">
      <c r="A229" s="34"/>
      <c r="B229" s="34"/>
      <c r="C229" s="38"/>
      <c r="D229" s="94"/>
      <c r="E229" s="38"/>
      <c r="F229" s="34"/>
      <c r="G229" s="39"/>
      <c r="H229" s="35"/>
      <c r="I229" s="37"/>
      <c r="J229" s="37"/>
      <c r="K229" s="37"/>
      <c r="L229" s="37"/>
      <c r="M229" s="37"/>
      <c r="N229" s="37"/>
      <c r="O229" s="37"/>
      <c r="P229" s="62"/>
      <c r="Q229" s="40"/>
      <c r="R229" s="40"/>
      <c r="S229" s="40"/>
    </row>
    <row r="230" spans="1:19" ht="12.75">
      <c r="A230" s="34"/>
      <c r="B230" s="34"/>
      <c r="C230" s="38"/>
      <c r="D230" s="38"/>
      <c r="E230" s="38"/>
      <c r="F230" s="37"/>
      <c r="G230" s="39"/>
      <c r="H230" s="39"/>
      <c r="I230" s="37"/>
      <c r="J230" s="37"/>
      <c r="K230" s="37"/>
      <c r="L230" s="37"/>
      <c r="M230" s="37"/>
      <c r="N230" s="37"/>
      <c r="O230" s="61"/>
      <c r="P230" s="61"/>
      <c r="Q230" s="61"/>
      <c r="R230" s="61"/>
      <c r="S230" s="61"/>
    </row>
    <row r="231" spans="1:19" ht="12.75">
      <c r="A231" s="41"/>
      <c r="B231" s="41"/>
      <c r="C231" s="43"/>
      <c r="D231" s="43"/>
      <c r="E231" s="43"/>
      <c r="F231" s="41"/>
      <c r="G231" s="42"/>
      <c r="H231" s="42"/>
      <c r="I231" s="41"/>
      <c r="J231" s="41"/>
      <c r="K231" s="41"/>
      <c r="L231" s="41"/>
      <c r="M231" s="44"/>
      <c r="N231" s="41"/>
      <c r="O231" s="41"/>
      <c r="P231" s="41"/>
      <c r="Q231" s="41"/>
      <c r="R231" s="41"/>
      <c r="S231" s="41"/>
    </row>
    <row r="232" spans="1:19" ht="12.75">
      <c r="A232" s="63"/>
      <c r="B232" s="64"/>
      <c r="C232" s="66"/>
      <c r="D232" s="66"/>
      <c r="E232" s="66"/>
      <c r="F232" s="64"/>
      <c r="G232" s="65"/>
      <c r="H232" s="65"/>
      <c r="I232" s="68"/>
      <c r="J232" s="68"/>
      <c r="K232" s="68"/>
      <c r="L232" s="68"/>
      <c r="M232" s="68"/>
      <c r="N232" s="81"/>
      <c r="O232" s="68"/>
      <c r="P232" s="84"/>
      <c r="Q232" s="68"/>
      <c r="R232" s="68"/>
      <c r="S232" s="67"/>
    </row>
    <row r="233" spans="1:19" ht="12.75">
      <c r="A233" s="63"/>
      <c r="B233" s="64"/>
      <c r="C233" s="66"/>
      <c r="D233" s="66"/>
      <c r="E233" s="66"/>
      <c r="F233" s="64"/>
      <c r="G233" s="65"/>
      <c r="H233" s="65"/>
      <c r="I233" s="68"/>
      <c r="J233" s="84"/>
      <c r="K233" s="68"/>
      <c r="L233" s="68"/>
      <c r="M233" s="68"/>
      <c r="N233" s="81"/>
      <c r="O233" s="68"/>
      <c r="P233" s="68"/>
      <c r="Q233" s="68"/>
      <c r="R233" s="68"/>
      <c r="S233" s="67"/>
    </row>
    <row r="234" spans="1:19" ht="12.75">
      <c r="A234" s="63"/>
      <c r="B234" s="64"/>
      <c r="C234" s="66"/>
      <c r="D234" s="66"/>
      <c r="E234" s="66"/>
      <c r="F234" s="64"/>
      <c r="G234" s="65"/>
      <c r="H234" s="65"/>
      <c r="I234" s="68"/>
      <c r="J234" s="68"/>
      <c r="K234" s="68"/>
      <c r="L234" s="68"/>
      <c r="M234" s="68"/>
      <c r="N234" s="81"/>
      <c r="O234" s="68"/>
      <c r="P234" s="68"/>
      <c r="Q234" s="68"/>
      <c r="R234" s="68"/>
      <c r="S234" s="68"/>
    </row>
    <row r="235" spans="1:19" ht="12.75">
      <c r="A235" s="63"/>
      <c r="B235" s="64"/>
      <c r="C235" s="66"/>
      <c r="D235" s="66"/>
      <c r="E235" s="66"/>
      <c r="F235" s="64"/>
      <c r="G235" s="65"/>
      <c r="H235" s="65"/>
      <c r="I235" s="68"/>
      <c r="J235" s="68"/>
      <c r="K235" s="68"/>
      <c r="L235" s="68"/>
      <c r="M235" s="68"/>
      <c r="N235" s="81"/>
      <c r="O235" s="68"/>
      <c r="P235" s="68"/>
      <c r="Q235" s="67"/>
      <c r="R235" s="67"/>
      <c r="S235" s="67"/>
    </row>
    <row r="236" spans="1:19" ht="12.75">
      <c r="A236" s="63"/>
      <c r="B236" s="64"/>
      <c r="C236" s="66"/>
      <c r="D236" s="66"/>
      <c r="E236" s="66"/>
      <c r="F236" s="64"/>
      <c r="G236" s="65"/>
      <c r="H236" s="65"/>
      <c r="I236" s="68"/>
      <c r="J236" s="68"/>
      <c r="K236" s="68"/>
      <c r="L236" s="84"/>
      <c r="M236" s="68"/>
      <c r="N236" s="81"/>
      <c r="O236" s="68"/>
      <c r="P236" s="68"/>
      <c r="Q236" s="68"/>
      <c r="R236" s="68"/>
      <c r="S236" s="84"/>
    </row>
    <row r="237" spans="1:19" ht="12.75">
      <c r="A237" s="63"/>
      <c r="B237" s="64"/>
      <c r="C237" s="66"/>
      <c r="D237" s="66"/>
      <c r="E237" s="66"/>
      <c r="F237" s="64"/>
      <c r="G237" s="65"/>
      <c r="H237" s="65"/>
      <c r="I237" s="68"/>
      <c r="J237" s="68"/>
      <c r="K237" s="68"/>
      <c r="L237" s="68"/>
      <c r="M237" s="68"/>
      <c r="N237" s="81"/>
      <c r="O237" s="68"/>
      <c r="P237" s="68"/>
      <c r="Q237" s="68"/>
      <c r="R237" s="68"/>
      <c r="S237" s="68"/>
    </row>
    <row r="238" spans="1:19" ht="12.75">
      <c r="A238" s="63"/>
      <c r="B238" s="64"/>
      <c r="C238" s="66"/>
      <c r="D238" s="66"/>
      <c r="E238" s="66"/>
      <c r="F238" s="77"/>
      <c r="G238" s="65"/>
      <c r="H238" s="65"/>
      <c r="I238" s="68"/>
      <c r="J238" s="68"/>
      <c r="K238" s="68"/>
      <c r="L238" s="68"/>
      <c r="M238" s="68"/>
      <c r="N238" s="81"/>
      <c r="O238" s="68"/>
      <c r="P238" s="68"/>
      <c r="Q238" s="68"/>
      <c r="R238" s="68"/>
      <c r="S238" s="68"/>
    </row>
    <row r="239" spans="1:19" ht="12.75">
      <c r="A239" s="63"/>
      <c r="B239" s="64"/>
      <c r="C239" s="66"/>
      <c r="D239" s="66"/>
      <c r="E239" s="66"/>
      <c r="F239" s="76"/>
      <c r="G239" s="65"/>
      <c r="H239" s="65"/>
      <c r="I239" s="76"/>
      <c r="J239" s="76"/>
      <c r="K239" s="68"/>
      <c r="L239" s="68"/>
      <c r="M239" s="68"/>
      <c r="N239" s="81"/>
      <c r="O239" s="68"/>
      <c r="P239" s="68"/>
      <c r="Q239" s="68"/>
      <c r="R239" s="68"/>
      <c r="S239" s="68"/>
    </row>
    <row r="240" spans="1:19" ht="12.75">
      <c r="A240" s="63"/>
      <c r="B240" s="64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</row>
    <row r="241" spans="1:19" ht="12.75">
      <c r="A241" s="63"/>
      <c r="B241" s="64"/>
      <c r="C241" s="66"/>
      <c r="D241" s="66"/>
      <c r="E241" s="66"/>
      <c r="F241" s="77"/>
      <c r="G241" s="65"/>
      <c r="H241" s="65"/>
      <c r="I241" s="68"/>
      <c r="J241" s="68"/>
      <c r="K241" s="84"/>
      <c r="L241" s="68"/>
      <c r="M241" s="84"/>
      <c r="N241" s="83"/>
      <c r="O241" s="84"/>
      <c r="P241" s="68"/>
      <c r="Q241" s="68"/>
      <c r="R241" s="68"/>
      <c r="S241" s="68"/>
    </row>
    <row r="242" spans="1:19" ht="12.75">
      <c r="A242" s="63"/>
      <c r="B242" s="64"/>
      <c r="C242" s="66"/>
      <c r="D242" s="66"/>
      <c r="E242" s="66"/>
      <c r="F242" s="77"/>
      <c r="G242" s="65"/>
      <c r="H242" s="65"/>
      <c r="I242" s="77"/>
      <c r="J242" s="77"/>
      <c r="K242" s="68"/>
      <c r="L242" s="68"/>
      <c r="M242" s="68"/>
      <c r="N242" s="81"/>
      <c r="O242" s="68"/>
      <c r="P242" s="68"/>
      <c r="Q242" s="68"/>
      <c r="R242" s="68"/>
      <c r="S242" s="68"/>
    </row>
    <row r="243" spans="1:19" ht="12.75">
      <c r="A243" s="63"/>
      <c r="B243" s="64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</row>
    <row r="244" spans="1:19" ht="12.75" hidden="1">
      <c r="A244" s="63"/>
      <c r="B244" s="64"/>
      <c r="C244" s="66"/>
      <c r="D244" s="66"/>
      <c r="E244" s="66"/>
      <c r="F244" s="77"/>
      <c r="G244" s="65"/>
      <c r="H244" s="65"/>
      <c r="I244" s="68"/>
      <c r="J244" s="68"/>
      <c r="K244" s="68"/>
      <c r="L244" s="68"/>
      <c r="M244" s="68"/>
      <c r="N244" s="81"/>
      <c r="O244" s="68"/>
      <c r="P244" s="68"/>
      <c r="Q244" s="68"/>
      <c r="R244" s="68"/>
      <c r="S244" s="68"/>
    </row>
    <row r="245" spans="1:19" ht="12.75" hidden="1">
      <c r="A245" s="63"/>
      <c r="B245" s="64"/>
      <c r="C245" s="66"/>
      <c r="D245" s="66"/>
      <c r="E245" s="66"/>
      <c r="F245" s="77"/>
      <c r="G245" s="65"/>
      <c r="H245" s="65"/>
      <c r="I245" s="77"/>
      <c r="J245" s="68"/>
      <c r="K245" s="68"/>
      <c r="L245" s="68"/>
      <c r="M245" s="68"/>
      <c r="N245" s="81"/>
      <c r="O245" s="68"/>
      <c r="P245" s="68"/>
      <c r="Q245" s="68"/>
      <c r="R245" s="68"/>
      <c r="S245" s="68"/>
    </row>
    <row r="246" spans="1:19" ht="12.75">
      <c r="A246" s="63"/>
      <c r="B246" s="64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</row>
    <row r="247" spans="1:19" ht="12.75">
      <c r="A247" s="63"/>
      <c r="B247" s="64"/>
      <c r="C247" s="66"/>
      <c r="D247" s="66"/>
      <c r="E247" s="66"/>
      <c r="F247" s="77"/>
      <c r="G247" s="65"/>
      <c r="H247" s="65"/>
      <c r="I247" s="68"/>
      <c r="J247" s="68"/>
      <c r="K247" s="68"/>
      <c r="L247" s="68"/>
      <c r="M247" s="68"/>
      <c r="N247" s="81"/>
      <c r="O247" s="68"/>
      <c r="P247" s="68"/>
      <c r="Q247" s="68"/>
      <c r="R247" s="68"/>
      <c r="S247" s="68"/>
    </row>
    <row r="248" spans="1:19" ht="12.75">
      <c r="A248" s="63"/>
      <c r="B248" s="64"/>
      <c r="C248" s="66"/>
      <c r="D248" s="66"/>
      <c r="E248" s="66"/>
      <c r="F248" s="77"/>
      <c r="G248" s="65"/>
      <c r="H248" s="65"/>
      <c r="I248" s="68"/>
      <c r="J248" s="68"/>
      <c r="K248" s="68"/>
      <c r="L248" s="68"/>
      <c r="M248" s="68"/>
      <c r="N248" s="81"/>
      <c r="O248" s="68"/>
      <c r="P248" s="68"/>
      <c r="Q248" s="68"/>
      <c r="R248" s="68"/>
      <c r="S248" s="68"/>
    </row>
    <row r="249" spans="1:19" ht="12.75">
      <c r="A249" s="63"/>
      <c r="B249" s="64"/>
      <c r="C249" s="66"/>
      <c r="D249" s="66"/>
      <c r="E249" s="66"/>
      <c r="F249" s="77"/>
      <c r="G249" s="65"/>
      <c r="H249" s="65"/>
      <c r="I249" s="68"/>
      <c r="J249" s="68"/>
      <c r="K249" s="68"/>
      <c r="L249" s="68"/>
      <c r="M249" s="68"/>
      <c r="N249" s="81"/>
      <c r="O249" s="68"/>
      <c r="P249" s="68"/>
      <c r="Q249" s="68"/>
      <c r="R249" s="68"/>
      <c r="S249" s="68"/>
    </row>
    <row r="250" spans="1:19" ht="12.75">
      <c r="A250" s="7"/>
      <c r="B250" s="7"/>
      <c r="C250" s="7"/>
      <c r="D250" s="88"/>
      <c r="E250" s="86"/>
      <c r="F250" s="7"/>
      <c r="G250" s="88"/>
      <c r="H250" s="88"/>
      <c r="I250" s="7"/>
      <c r="J250" s="7"/>
      <c r="K250" s="87"/>
      <c r="L250" s="7"/>
      <c r="M250" s="7"/>
      <c r="N250" s="7"/>
      <c r="O250" s="86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</sheetData>
  <mergeCells count="1">
    <mergeCell ref="F1:G1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D8">
      <selection activeCell="K32" sqref="K32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12.7109375" style="0" customWidth="1"/>
  </cols>
  <sheetData>
    <row r="2" spans="1:9" ht="12.75">
      <c r="A2" s="8">
        <v>2000</v>
      </c>
      <c r="B2" s="8" t="s">
        <v>14</v>
      </c>
      <c r="C2" s="8" t="s">
        <v>18</v>
      </c>
      <c r="D2" s="8" t="s">
        <v>94</v>
      </c>
      <c r="E2" s="8"/>
      <c r="F2" s="9"/>
      <c r="G2" s="9"/>
      <c r="H2" s="10"/>
      <c r="I2" s="10"/>
    </row>
    <row r="3" spans="1:9" ht="12.75">
      <c r="A3" s="10"/>
      <c r="B3" s="10" t="s">
        <v>91</v>
      </c>
      <c r="C3" s="10" t="s">
        <v>90</v>
      </c>
      <c r="D3" s="10" t="s">
        <v>89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92</v>
      </c>
      <c r="D4" s="10" t="s">
        <v>93</v>
      </c>
      <c r="E4" s="10"/>
      <c r="F4" s="10"/>
      <c r="G4" s="10"/>
      <c r="H4" s="10"/>
      <c r="I4" s="10"/>
    </row>
    <row r="5" spans="1:9" ht="12.75">
      <c r="A5" s="10" t="s">
        <v>88</v>
      </c>
      <c r="B5" s="25">
        <v>64.2</v>
      </c>
      <c r="C5" s="25">
        <v>60</v>
      </c>
      <c r="D5" s="9">
        <v>109.8</v>
      </c>
      <c r="E5" s="10"/>
      <c r="F5" s="10"/>
      <c r="G5" s="10"/>
      <c r="H5" s="10"/>
      <c r="I5" s="10"/>
    </row>
    <row r="6" spans="1:9" ht="12.75">
      <c r="A6" s="10" t="s">
        <v>0</v>
      </c>
      <c r="B6" s="25">
        <v>31</v>
      </c>
      <c r="C6" s="25">
        <v>39.1</v>
      </c>
      <c r="D6" s="25">
        <v>89.4</v>
      </c>
      <c r="E6" s="2"/>
      <c r="F6" s="2"/>
      <c r="G6" s="2"/>
      <c r="H6" s="10"/>
      <c r="I6" s="10"/>
    </row>
    <row r="7" spans="1:9" ht="12.75">
      <c r="A7" s="10" t="s">
        <v>1</v>
      </c>
      <c r="B7" s="25">
        <v>80</v>
      </c>
      <c r="C7" s="25">
        <v>40.8</v>
      </c>
      <c r="D7" s="25">
        <v>53.8</v>
      </c>
      <c r="E7" s="2"/>
      <c r="F7" s="2"/>
      <c r="G7" s="2"/>
      <c r="H7" s="10"/>
      <c r="I7" s="10"/>
    </row>
    <row r="8" spans="1:9" ht="12.75">
      <c r="A8" s="10" t="s">
        <v>2</v>
      </c>
      <c r="B8" s="25">
        <v>104</v>
      </c>
      <c r="C8" s="25">
        <v>40.8</v>
      </c>
      <c r="D8" s="25">
        <v>80.8</v>
      </c>
      <c r="E8" s="4"/>
      <c r="F8" s="4"/>
      <c r="G8" s="4"/>
      <c r="H8" s="10"/>
      <c r="I8" s="10"/>
    </row>
    <row r="9" spans="1:9" ht="12.75">
      <c r="A9" s="10" t="s">
        <v>3</v>
      </c>
      <c r="B9" s="25">
        <v>97</v>
      </c>
      <c r="C9" s="25">
        <v>42.4</v>
      </c>
      <c r="D9" s="25">
        <v>84</v>
      </c>
      <c r="E9" s="4"/>
      <c r="F9" s="4"/>
      <c r="G9" s="4"/>
      <c r="H9" s="10"/>
      <c r="I9" s="10"/>
    </row>
    <row r="10" spans="1:9" ht="12.75">
      <c r="A10" s="10" t="s">
        <v>4</v>
      </c>
      <c r="B10" s="25">
        <v>201</v>
      </c>
      <c r="C10" s="25">
        <v>468</v>
      </c>
      <c r="D10" s="25">
        <v>5.6</v>
      </c>
      <c r="E10" s="4"/>
      <c r="F10" s="4"/>
      <c r="G10" s="4"/>
      <c r="H10" s="10"/>
      <c r="I10" s="10"/>
    </row>
    <row r="11" spans="1:9" ht="12.75">
      <c r="A11" s="10" t="s">
        <v>5</v>
      </c>
      <c r="B11" s="25">
        <v>111</v>
      </c>
      <c r="C11" s="25">
        <v>134.5</v>
      </c>
      <c r="D11" s="25">
        <v>3.1</v>
      </c>
      <c r="E11" s="4"/>
      <c r="F11" s="4"/>
      <c r="G11" s="4"/>
      <c r="H11" s="10"/>
      <c r="I11" s="10"/>
    </row>
    <row r="12" spans="1:9" ht="12.75">
      <c r="A12" s="10" t="s">
        <v>6</v>
      </c>
      <c r="B12" s="25">
        <v>39</v>
      </c>
      <c r="C12" s="25">
        <v>69.6</v>
      </c>
      <c r="D12" s="25">
        <v>37.8</v>
      </c>
      <c r="E12" s="4"/>
      <c r="F12" s="4"/>
      <c r="G12" s="4"/>
      <c r="H12" s="10"/>
      <c r="I12" s="10"/>
    </row>
    <row r="13" spans="1:10" ht="12.75">
      <c r="A13" s="10" t="s">
        <v>7</v>
      </c>
      <c r="B13" s="25">
        <v>11</v>
      </c>
      <c r="C13" s="25">
        <v>61.3</v>
      </c>
      <c r="D13" s="25">
        <v>22.3</v>
      </c>
      <c r="E13" s="188" t="s">
        <v>189</v>
      </c>
      <c r="F13" s="188"/>
      <c r="G13" s="188"/>
      <c r="H13" s="188"/>
      <c r="I13" s="188"/>
      <c r="J13" s="188"/>
    </row>
    <row r="14" spans="1:9" ht="12.75">
      <c r="A14" s="10" t="s">
        <v>8</v>
      </c>
      <c r="B14" s="25">
        <v>6</v>
      </c>
      <c r="C14" s="25">
        <v>37.4</v>
      </c>
      <c r="D14" s="25">
        <v>13.96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5">
        <v>20</v>
      </c>
      <c r="C15" s="25">
        <v>39.1</v>
      </c>
      <c r="D15" s="25">
        <v>34.4</v>
      </c>
      <c r="E15" s="190">
        <v>2000</v>
      </c>
      <c r="F15" s="194" t="s">
        <v>97</v>
      </c>
      <c r="G15" s="194" t="s">
        <v>98</v>
      </c>
      <c r="H15" s="194" t="s">
        <v>99</v>
      </c>
      <c r="I15" s="189" t="s">
        <v>101</v>
      </c>
      <c r="J15" s="195" t="s">
        <v>102</v>
      </c>
    </row>
    <row r="16" spans="1:10" ht="12.75">
      <c r="A16" s="10" t="s">
        <v>10</v>
      </c>
      <c r="B16" s="25">
        <v>66</v>
      </c>
      <c r="C16" s="25">
        <v>32.4</v>
      </c>
      <c r="D16" s="25">
        <v>34.9</v>
      </c>
      <c r="E16" s="190"/>
      <c r="F16" s="194"/>
      <c r="G16" s="194"/>
      <c r="H16" s="194"/>
      <c r="I16" s="189"/>
      <c r="J16" s="195"/>
    </row>
    <row r="17" spans="1:10" ht="12.75">
      <c r="A17" s="10"/>
      <c r="B17" s="9" t="s">
        <v>95</v>
      </c>
      <c r="C17" s="9" t="s">
        <v>95</v>
      </c>
      <c r="D17" s="9" t="s">
        <v>95</v>
      </c>
      <c r="E17" s="190"/>
      <c r="F17" s="191" t="s">
        <v>96</v>
      </c>
      <c r="G17" s="192"/>
      <c r="H17" s="192"/>
      <c r="I17" s="192"/>
      <c r="J17" s="193"/>
    </row>
    <row r="18" spans="1:10" ht="12.75">
      <c r="A18" s="10" t="s">
        <v>88</v>
      </c>
      <c r="B18" s="25">
        <f aca="true" t="shared" si="0" ref="B18:D29">+B5*1.983</f>
        <v>127.30860000000001</v>
      </c>
      <c r="C18" s="25">
        <f t="shared" si="0"/>
        <v>118.98</v>
      </c>
      <c r="D18" s="25">
        <f t="shared" si="0"/>
        <v>217.73340000000002</v>
      </c>
      <c r="E18" s="29" t="s">
        <v>88</v>
      </c>
      <c r="F18" s="27">
        <f>+C18*31</f>
        <v>3688.38</v>
      </c>
      <c r="G18" s="27">
        <f>+D18*31</f>
        <v>6749.7354000000005</v>
      </c>
      <c r="H18" s="27">
        <f aca="true" t="shared" si="1" ref="H18:H29">SUM(F18:G18)</f>
        <v>10438.1154</v>
      </c>
      <c r="I18" s="28">
        <f>+B18*28</f>
        <v>3564.6408</v>
      </c>
      <c r="J18" s="32">
        <f>H18-I18</f>
        <v>6873.4746000000005</v>
      </c>
    </row>
    <row r="19" spans="1:10" ht="12.75">
      <c r="A19" s="10" t="s">
        <v>0</v>
      </c>
      <c r="B19" s="25">
        <f t="shared" si="0"/>
        <v>61.473000000000006</v>
      </c>
      <c r="C19" s="25">
        <f t="shared" si="0"/>
        <v>77.5353</v>
      </c>
      <c r="D19" s="25">
        <f t="shared" si="0"/>
        <v>177.2802</v>
      </c>
      <c r="E19" s="29" t="s">
        <v>0</v>
      </c>
      <c r="F19" s="27">
        <f>+C19*28</f>
        <v>2170.9884</v>
      </c>
      <c r="G19" s="27">
        <f>+D19*28</f>
        <v>4963.845600000001</v>
      </c>
      <c r="H19" s="27">
        <f t="shared" si="1"/>
        <v>7134.834000000001</v>
      </c>
      <c r="I19" s="28">
        <f>+B19*28</f>
        <v>1721.2440000000001</v>
      </c>
      <c r="J19" s="32">
        <f aca="true" t="shared" si="2" ref="J19:J30">H19-I19</f>
        <v>5413.59</v>
      </c>
    </row>
    <row r="20" spans="1:10" ht="12.75">
      <c r="A20" s="10" t="s">
        <v>1</v>
      </c>
      <c r="B20" s="25">
        <f t="shared" si="0"/>
        <v>158.64000000000001</v>
      </c>
      <c r="C20" s="25">
        <f t="shared" si="0"/>
        <v>80.9064</v>
      </c>
      <c r="D20" s="25">
        <f t="shared" si="0"/>
        <v>106.6854</v>
      </c>
      <c r="E20" s="29" t="s">
        <v>1</v>
      </c>
      <c r="F20" s="27">
        <f>+C20*31</f>
        <v>2508.0984000000003</v>
      </c>
      <c r="G20" s="27">
        <f>+D20*31</f>
        <v>3307.2474</v>
      </c>
      <c r="H20" s="27">
        <f t="shared" si="1"/>
        <v>5815.345800000001</v>
      </c>
      <c r="I20" s="28">
        <f>+B20*31</f>
        <v>4917.84</v>
      </c>
      <c r="J20" s="32">
        <f t="shared" si="2"/>
        <v>897.5058000000008</v>
      </c>
    </row>
    <row r="21" spans="1:10" ht="12.75">
      <c r="A21" s="10" t="s">
        <v>2</v>
      </c>
      <c r="B21" s="25">
        <f t="shared" si="0"/>
        <v>206.232</v>
      </c>
      <c r="C21" s="25">
        <f t="shared" si="0"/>
        <v>80.9064</v>
      </c>
      <c r="D21" s="25">
        <f t="shared" si="0"/>
        <v>160.2264</v>
      </c>
      <c r="E21" s="29" t="s">
        <v>2</v>
      </c>
      <c r="F21" s="27">
        <f>+C21*30</f>
        <v>2427.192</v>
      </c>
      <c r="G21" s="27">
        <f>+D21*30</f>
        <v>4806.792</v>
      </c>
      <c r="H21" s="27">
        <f t="shared" si="1"/>
        <v>7233.984</v>
      </c>
      <c r="I21" s="28">
        <f>+B21*30</f>
        <v>6186.96</v>
      </c>
      <c r="J21" s="32">
        <f t="shared" si="2"/>
        <v>1047.0240000000003</v>
      </c>
    </row>
    <row r="22" spans="1:10" ht="12.75">
      <c r="A22" s="10" t="s">
        <v>3</v>
      </c>
      <c r="B22" s="25">
        <f t="shared" si="0"/>
        <v>192.351</v>
      </c>
      <c r="C22" s="25">
        <f t="shared" si="0"/>
        <v>84.0792</v>
      </c>
      <c r="D22" s="25">
        <f t="shared" si="0"/>
        <v>166.572</v>
      </c>
      <c r="E22" s="29" t="s">
        <v>3</v>
      </c>
      <c r="F22" s="27">
        <f>+C22*31</f>
        <v>2606.4552</v>
      </c>
      <c r="G22" s="27">
        <f>+D22*31</f>
        <v>5163.732</v>
      </c>
      <c r="H22" s="27">
        <f t="shared" si="1"/>
        <v>7770.1872</v>
      </c>
      <c r="I22" s="28">
        <f>+B22*31</f>
        <v>5962.881</v>
      </c>
      <c r="J22" s="32">
        <f t="shared" si="2"/>
        <v>1807.3062</v>
      </c>
    </row>
    <row r="23" spans="1:10" ht="12.75">
      <c r="A23" s="10" t="s">
        <v>4</v>
      </c>
      <c r="B23" s="25">
        <f t="shared" si="0"/>
        <v>398.583</v>
      </c>
      <c r="C23" s="25">
        <f t="shared" si="0"/>
        <v>928.0440000000001</v>
      </c>
      <c r="D23" s="25">
        <f t="shared" si="0"/>
        <v>11.1048</v>
      </c>
      <c r="E23" s="29" t="s">
        <v>4</v>
      </c>
      <c r="F23" s="27">
        <f>+C23*30</f>
        <v>27841.320000000003</v>
      </c>
      <c r="G23" s="27">
        <f>+D23*30</f>
        <v>333.14399999999995</v>
      </c>
      <c r="H23" s="27">
        <f t="shared" si="1"/>
        <v>28174.464000000004</v>
      </c>
      <c r="I23" s="28">
        <f>+B23*30</f>
        <v>11957.490000000002</v>
      </c>
      <c r="J23" s="32">
        <f t="shared" si="2"/>
        <v>16216.974000000002</v>
      </c>
    </row>
    <row r="24" spans="1:10" ht="12.75">
      <c r="A24" s="10" t="s">
        <v>5</v>
      </c>
      <c r="B24" s="25">
        <f t="shared" si="0"/>
        <v>220.113</v>
      </c>
      <c r="C24" s="25">
        <f t="shared" si="0"/>
        <v>266.7135</v>
      </c>
      <c r="D24" s="25">
        <f t="shared" si="0"/>
        <v>6.1473</v>
      </c>
      <c r="E24" s="29" t="s">
        <v>5</v>
      </c>
      <c r="F24" s="27">
        <f>+C24*31</f>
        <v>8268.1185</v>
      </c>
      <c r="G24" s="27">
        <f>+D24*31</f>
        <v>190.5663</v>
      </c>
      <c r="H24" s="27">
        <f t="shared" si="1"/>
        <v>8458.6848</v>
      </c>
      <c r="I24" s="28">
        <f>+B24*31</f>
        <v>6823.503</v>
      </c>
      <c r="J24" s="32">
        <f t="shared" si="2"/>
        <v>1635.1818000000012</v>
      </c>
    </row>
    <row r="25" spans="1:10" ht="12.75">
      <c r="A25" s="10" t="s">
        <v>6</v>
      </c>
      <c r="B25" s="25">
        <f t="shared" si="0"/>
        <v>77.337</v>
      </c>
      <c r="C25" s="25">
        <f t="shared" si="0"/>
        <v>138.0168</v>
      </c>
      <c r="D25" s="25">
        <f t="shared" si="0"/>
        <v>74.95739999999999</v>
      </c>
      <c r="E25" s="29" t="s">
        <v>6</v>
      </c>
      <c r="F25" s="27">
        <f>+C25*31</f>
        <v>4278.520799999999</v>
      </c>
      <c r="G25" s="27">
        <f>+D25*31</f>
        <v>2323.6794</v>
      </c>
      <c r="H25" s="27">
        <f t="shared" si="1"/>
        <v>6602.200199999999</v>
      </c>
      <c r="I25" s="28">
        <f>+B25*31</f>
        <v>2397.447</v>
      </c>
      <c r="J25" s="32">
        <f t="shared" si="2"/>
        <v>4204.753199999999</v>
      </c>
    </row>
    <row r="26" spans="1:10" ht="12.75">
      <c r="A26" s="10" t="s">
        <v>7</v>
      </c>
      <c r="B26" s="25">
        <f t="shared" si="0"/>
        <v>21.813000000000002</v>
      </c>
      <c r="C26" s="25">
        <f t="shared" si="0"/>
        <v>121.5579</v>
      </c>
      <c r="D26" s="25">
        <f t="shared" si="0"/>
        <v>44.2209</v>
      </c>
      <c r="E26" s="29" t="s">
        <v>7</v>
      </c>
      <c r="F26" s="27">
        <f>+C26*30</f>
        <v>3646.737</v>
      </c>
      <c r="G26" s="27">
        <f>+D26*30</f>
        <v>1326.627</v>
      </c>
      <c r="H26" s="27">
        <f t="shared" si="1"/>
        <v>4973.364</v>
      </c>
      <c r="I26" s="28">
        <f>+B26*30</f>
        <v>654.3900000000001</v>
      </c>
      <c r="J26" s="32">
        <f t="shared" si="2"/>
        <v>4318.973999999999</v>
      </c>
    </row>
    <row r="27" spans="1:10" ht="12.75">
      <c r="A27" s="10" t="s">
        <v>8</v>
      </c>
      <c r="B27" s="25">
        <f t="shared" si="0"/>
        <v>11.898</v>
      </c>
      <c r="C27" s="25">
        <f t="shared" si="0"/>
        <v>74.1642</v>
      </c>
      <c r="D27" s="25">
        <f t="shared" si="0"/>
        <v>27.68268</v>
      </c>
      <c r="E27" s="29" t="s">
        <v>8</v>
      </c>
      <c r="F27" s="27">
        <f>+C27*31</f>
        <v>2299.0901999999996</v>
      </c>
      <c r="G27" s="27">
        <f>+D27*31</f>
        <v>858.16308</v>
      </c>
      <c r="H27" s="27">
        <f t="shared" si="1"/>
        <v>3157.25328</v>
      </c>
      <c r="I27" s="28">
        <f>+B27*31</f>
        <v>368.83799999999997</v>
      </c>
      <c r="J27" s="32">
        <f t="shared" si="2"/>
        <v>2788.41528</v>
      </c>
    </row>
    <row r="28" spans="1:10" ht="12.75">
      <c r="A28" s="10" t="s">
        <v>9</v>
      </c>
      <c r="B28" s="25">
        <f t="shared" si="0"/>
        <v>39.660000000000004</v>
      </c>
      <c r="C28" s="25">
        <f t="shared" si="0"/>
        <v>77.5353</v>
      </c>
      <c r="D28" s="25">
        <f t="shared" si="0"/>
        <v>68.2152</v>
      </c>
      <c r="E28" s="29" t="s">
        <v>9</v>
      </c>
      <c r="F28" s="27">
        <f>+C28*30</f>
        <v>2326.059</v>
      </c>
      <c r="G28" s="27">
        <f>+D28*30</f>
        <v>2046.456</v>
      </c>
      <c r="H28" s="27">
        <f t="shared" si="1"/>
        <v>4372.515</v>
      </c>
      <c r="I28" s="28">
        <f>+B28*30</f>
        <v>1189.8000000000002</v>
      </c>
      <c r="J28" s="32">
        <f t="shared" si="2"/>
        <v>3182.715</v>
      </c>
    </row>
    <row r="29" spans="1:10" ht="12.75">
      <c r="A29" s="10" t="s">
        <v>10</v>
      </c>
      <c r="B29" s="25">
        <f t="shared" si="0"/>
        <v>130.87800000000001</v>
      </c>
      <c r="C29" s="25">
        <f t="shared" si="0"/>
        <v>64.2492</v>
      </c>
      <c r="D29" s="25">
        <f t="shared" si="0"/>
        <v>69.2067</v>
      </c>
      <c r="E29" s="29" t="s">
        <v>10</v>
      </c>
      <c r="F29" s="27">
        <f>+C29*31</f>
        <v>1991.7252</v>
      </c>
      <c r="G29" s="27">
        <f>+D29*31</f>
        <v>2145.4076999999997</v>
      </c>
      <c r="H29" s="27">
        <f t="shared" si="1"/>
        <v>4137.1329</v>
      </c>
      <c r="I29" s="28">
        <f>+B29*31</f>
        <v>4057.2180000000003</v>
      </c>
      <c r="J29" s="32">
        <f t="shared" si="2"/>
        <v>79.9148999999993</v>
      </c>
    </row>
    <row r="30" spans="1:10" ht="12.75">
      <c r="A30" s="10"/>
      <c r="B30" s="26"/>
      <c r="C30" s="26"/>
      <c r="D30" s="26"/>
      <c r="E30" s="53" t="s">
        <v>100</v>
      </c>
      <c r="F30" s="184">
        <f>SUM(F18:F29)</f>
        <v>64052.684700000005</v>
      </c>
      <c r="G30" s="184">
        <f>SUM(G18:G29)</f>
        <v>34215.39588</v>
      </c>
      <c r="H30" s="184">
        <f>SUM(H18:H29)</f>
        <v>98268.08058000002</v>
      </c>
      <c r="I30" s="184">
        <f>SUM(I18:I29)</f>
        <v>49802.251800000005</v>
      </c>
      <c r="J30" s="185">
        <f t="shared" si="2"/>
        <v>48465.82878000002</v>
      </c>
    </row>
    <row r="31" spans="1:9" ht="12.75">
      <c r="A31" s="10"/>
      <c r="B31" s="4"/>
      <c r="C31" s="4"/>
      <c r="D31" s="4"/>
      <c r="E31" s="179" t="s">
        <v>103</v>
      </c>
      <c r="F31" s="33">
        <f>F30/H30</f>
        <v>0.6518157709191718</v>
      </c>
      <c r="G31" s="33">
        <f>G30/H30</f>
        <v>0.348184229080828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Q1">
      <selection activeCell="Y2" sqref="Y2:Z7"/>
    </sheetView>
  </sheetViews>
  <sheetFormatPr defaultColWidth="9.140625" defaultRowHeight="12.75"/>
  <cols>
    <col min="8" max="8" width="17.00390625" style="0" customWidth="1"/>
    <col min="25" max="25" width="5.57421875" style="0" bestFit="1" customWidth="1"/>
    <col min="26" max="26" width="22.57421875" style="0" bestFit="1" customWidth="1"/>
  </cols>
  <sheetData>
    <row r="1" spans="1:25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 t="s">
        <v>81</v>
      </c>
      <c r="N1" s="19"/>
      <c r="O1" s="19"/>
      <c r="P1" s="19"/>
      <c r="Q1" s="19"/>
      <c r="R1" s="19"/>
      <c r="S1" s="19"/>
      <c r="T1" s="19"/>
      <c r="U1" s="19"/>
      <c r="V1" s="19"/>
      <c r="W1" s="18"/>
      <c r="X1" s="18"/>
      <c r="Y1" s="18"/>
    </row>
    <row r="2" spans="1:26" ht="12.75">
      <c r="A2" s="19" t="s">
        <v>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>
        <v>1988</v>
      </c>
      <c r="O2" s="19">
        <v>1991</v>
      </c>
      <c r="P2" s="19">
        <v>1992</v>
      </c>
      <c r="Q2" s="19">
        <v>1993</v>
      </c>
      <c r="R2" s="19">
        <v>1994</v>
      </c>
      <c r="S2" s="19">
        <v>1995</v>
      </c>
      <c r="T2" s="19">
        <v>1996</v>
      </c>
      <c r="U2" s="19">
        <v>1997</v>
      </c>
      <c r="V2" s="19">
        <v>1998</v>
      </c>
      <c r="W2" s="18">
        <v>1999</v>
      </c>
      <c r="X2" s="18">
        <v>2000</v>
      </c>
      <c r="Y2" s="19" t="s">
        <v>79</v>
      </c>
      <c r="Z2" s="19" t="s">
        <v>78</v>
      </c>
    </row>
    <row r="3" spans="1:26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 t="s">
        <v>61</v>
      </c>
      <c r="N3" s="21">
        <f aca="true" t="shared" si="0" ref="N3:X3">LN(B5)</f>
        <v>2.011086222015564</v>
      </c>
      <c r="O3" s="21">
        <f t="shared" si="0"/>
        <v>3.054944133185837</v>
      </c>
      <c r="P3" s="21">
        <f t="shared" si="0"/>
        <v>2.944965156500338</v>
      </c>
      <c r="Q3" s="21">
        <f t="shared" si="0"/>
        <v>2.186051276738094</v>
      </c>
      <c r="R3" s="21">
        <f t="shared" si="0"/>
        <v>3.0170044088295307</v>
      </c>
      <c r="S3" s="21">
        <f t="shared" si="0"/>
        <v>1.6272778305624314</v>
      </c>
      <c r="T3" s="21">
        <f t="shared" si="0"/>
        <v>1.3609765531356006</v>
      </c>
      <c r="U3" s="21">
        <f t="shared" si="0"/>
        <v>0.8329091229351039</v>
      </c>
      <c r="V3" s="21">
        <f t="shared" si="0"/>
        <v>1.3887912413184778</v>
      </c>
      <c r="W3" s="21">
        <f t="shared" si="0"/>
        <v>1.4586150226995167</v>
      </c>
      <c r="X3" s="21">
        <f t="shared" si="0"/>
        <v>1.9740810260220096</v>
      </c>
      <c r="Y3" s="19" t="s">
        <v>77</v>
      </c>
      <c r="Z3" s="19" t="s">
        <v>76</v>
      </c>
    </row>
    <row r="4" spans="1:26" ht="12.75">
      <c r="A4" s="19" t="s">
        <v>37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>
        <v>21</v>
      </c>
      <c r="M4" s="19"/>
      <c r="N4" s="21">
        <f aca="true" t="shared" si="1" ref="N4:X4">20+(14.42*N3)</f>
        <v>48.99986332146443</v>
      </c>
      <c r="O4" s="21">
        <f t="shared" si="1"/>
        <v>64.05229440053976</v>
      </c>
      <c r="P4" s="21">
        <f t="shared" si="1"/>
        <v>62.46639755673487</v>
      </c>
      <c r="Q4" s="21">
        <f t="shared" si="1"/>
        <v>51.52285941056331</v>
      </c>
      <c r="R4" s="21">
        <f t="shared" si="1"/>
        <v>63.50520357532183</v>
      </c>
      <c r="S4" s="21">
        <f t="shared" si="1"/>
        <v>43.46534631671026</v>
      </c>
      <c r="T4" s="21">
        <f t="shared" si="1"/>
        <v>39.62528189621536</v>
      </c>
      <c r="U4" s="21">
        <f t="shared" si="1"/>
        <v>32.0105495527242</v>
      </c>
      <c r="V4" s="21">
        <f t="shared" si="1"/>
        <v>40.02636969981245</v>
      </c>
      <c r="W4" s="21">
        <f t="shared" si="1"/>
        <v>41.033228627327034</v>
      </c>
      <c r="X4" s="21">
        <f t="shared" si="1"/>
        <v>48.46624839523738</v>
      </c>
      <c r="Y4" s="19" t="s">
        <v>74</v>
      </c>
      <c r="Z4" s="19" t="s">
        <v>73</v>
      </c>
    </row>
    <row r="5" spans="1:26" ht="12.75">
      <c r="A5" s="19" t="s">
        <v>68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>
        <v>7.2</v>
      </c>
      <c r="M5" s="19"/>
      <c r="N5" s="21"/>
      <c r="O5" s="21"/>
      <c r="P5" s="21"/>
      <c r="Q5" s="21"/>
      <c r="R5" s="21"/>
      <c r="S5" s="21"/>
      <c r="T5" s="19"/>
      <c r="U5" s="19"/>
      <c r="V5" s="19"/>
      <c r="W5" s="19"/>
      <c r="Y5" s="19" t="s">
        <v>72</v>
      </c>
      <c r="Z5" s="19" t="s">
        <v>71</v>
      </c>
    </row>
    <row r="6" spans="1:26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>
        <v>2.43</v>
      </c>
      <c r="M6" s="19" t="s">
        <v>60</v>
      </c>
      <c r="N6" s="21">
        <f aca="true" t="shared" si="2" ref="N6:X7">LN(B4)</f>
        <v>5.111987788356544</v>
      </c>
      <c r="O6" s="21">
        <f t="shared" si="2"/>
        <v>5.215804944973573</v>
      </c>
      <c r="P6" s="21">
        <f t="shared" si="2"/>
        <v>5.089199986966919</v>
      </c>
      <c r="Q6" s="21">
        <f t="shared" si="2"/>
        <v>5.1234281215713775</v>
      </c>
      <c r="R6" s="21">
        <f t="shared" si="2"/>
        <v>4.466252886801422</v>
      </c>
      <c r="S6" s="21">
        <f t="shared" si="2"/>
        <v>3.711374531941307</v>
      </c>
      <c r="T6" s="21">
        <f t="shared" si="2"/>
        <v>3.5263605246161616</v>
      </c>
      <c r="U6" s="21">
        <f t="shared" si="2"/>
        <v>2.5649493574615367</v>
      </c>
      <c r="V6" s="21">
        <f t="shared" si="2"/>
        <v>2.509599262378372</v>
      </c>
      <c r="W6" s="21">
        <f t="shared" si="2"/>
        <v>2.995732273553991</v>
      </c>
      <c r="X6" s="21">
        <f t="shared" si="2"/>
        <v>3.044522437723423</v>
      </c>
      <c r="Y6" s="19" t="s">
        <v>70</v>
      </c>
      <c r="Z6" s="19" t="s">
        <v>69</v>
      </c>
    </row>
    <row r="7" spans="1:26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21">
        <f aca="true" t="shared" si="3" ref="N7:V7">(20.02*N6)</f>
        <v>102.341995522898</v>
      </c>
      <c r="O7" s="21">
        <f t="shared" si="3"/>
        <v>104.42041499837092</v>
      </c>
      <c r="P7" s="21">
        <f t="shared" si="3"/>
        <v>101.88578373907771</v>
      </c>
      <c r="Q7" s="21">
        <f t="shared" si="3"/>
        <v>102.57103099385897</v>
      </c>
      <c r="R7" s="21">
        <f t="shared" si="3"/>
        <v>89.41438279376447</v>
      </c>
      <c r="S7" s="21">
        <f t="shared" si="3"/>
        <v>74.30171812946497</v>
      </c>
      <c r="T7" s="21">
        <f t="shared" si="3"/>
        <v>70.59773770281555</v>
      </c>
      <c r="U7" s="21">
        <f t="shared" si="3"/>
        <v>51.350286136379964</v>
      </c>
      <c r="V7" s="21">
        <f t="shared" si="3"/>
        <v>50.24217723281501</v>
      </c>
      <c r="W7" s="21">
        <f t="shared" si="2"/>
        <v>1.4586150226995167</v>
      </c>
      <c r="X7" s="21">
        <f t="shared" si="2"/>
        <v>1.9740810260220096</v>
      </c>
      <c r="Y7" s="19" t="s">
        <v>67</v>
      </c>
      <c r="Z7" s="19" t="s">
        <v>66</v>
      </c>
    </row>
    <row r="8" spans="1:25" ht="12.75">
      <c r="A8" s="19" t="s">
        <v>75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  <c r="P8" s="21"/>
      <c r="Q8" s="21"/>
      <c r="R8" s="21"/>
      <c r="S8" s="21"/>
      <c r="T8" s="19"/>
      <c r="U8" s="18"/>
      <c r="V8" s="18"/>
      <c r="W8" s="18"/>
      <c r="Y8" s="18"/>
    </row>
    <row r="9" spans="1:25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>
        <v>2000</v>
      </c>
      <c r="M9" s="19" t="s">
        <v>59</v>
      </c>
      <c r="N9" s="21">
        <f aca="true" t="shared" si="4" ref="N9:X9">LN(1/B6-0.08)</f>
        <v>-0.6247698831152083</v>
      </c>
      <c r="O9" s="21">
        <f t="shared" si="4"/>
        <v>-0.9654035287290765</v>
      </c>
      <c r="P9" s="21">
        <f t="shared" si="4"/>
        <v>-0.9258601828903059</v>
      </c>
      <c r="Q9" s="21">
        <f t="shared" si="4"/>
        <v>-1.3015390482569433</v>
      </c>
      <c r="R9" s="21">
        <f t="shared" si="4"/>
        <v>-0.7367663797012618</v>
      </c>
      <c r="S9" s="21">
        <f t="shared" si="4"/>
        <v>-0.9485822365106786</v>
      </c>
      <c r="T9" s="21">
        <f t="shared" si="4"/>
        <v>-2.0733694790422286</v>
      </c>
      <c r="U9" s="21">
        <f t="shared" si="4"/>
        <v>-1.4164210665233978</v>
      </c>
      <c r="V9" s="21">
        <f t="shared" si="4"/>
        <v>-1.2032126370525384</v>
      </c>
      <c r="W9" s="21">
        <f t="shared" si="4"/>
        <v>-0.9258601828903059</v>
      </c>
      <c r="X9" s="21">
        <f t="shared" si="4"/>
        <v>-1.1040591949302418</v>
      </c>
      <c r="Y9" s="18"/>
    </row>
    <row r="10" spans="1:25" ht="12.75">
      <c r="A10" s="19" t="s">
        <v>37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>
        <v>15</v>
      </c>
      <c r="M10" s="19"/>
      <c r="N10" s="21">
        <f aca="true" t="shared" si="5" ref="N10:X10">75.3+(19.46*N9)</f>
        <v>63.14197807457804</v>
      </c>
      <c r="O10" s="21">
        <f t="shared" si="5"/>
        <v>56.51324733093217</v>
      </c>
      <c r="P10" s="21">
        <f t="shared" si="5"/>
        <v>57.282760840954644</v>
      </c>
      <c r="Q10" s="21">
        <f t="shared" si="5"/>
        <v>49.972050120919874</v>
      </c>
      <c r="R10" s="21">
        <f t="shared" si="5"/>
        <v>60.96252625101344</v>
      </c>
      <c r="S10" s="21">
        <f t="shared" si="5"/>
        <v>56.840589677502194</v>
      </c>
      <c r="T10" s="21">
        <f t="shared" si="5"/>
        <v>34.952229937838226</v>
      </c>
      <c r="U10" s="21">
        <f t="shared" si="5"/>
        <v>47.73644604545467</v>
      </c>
      <c r="V10" s="21">
        <f t="shared" si="5"/>
        <v>51.885482082957594</v>
      </c>
      <c r="W10" s="21">
        <f t="shared" si="5"/>
        <v>57.282760840954644</v>
      </c>
      <c r="X10" s="21">
        <f t="shared" si="5"/>
        <v>53.81500806665749</v>
      </c>
      <c r="Y10" s="18"/>
    </row>
    <row r="11" spans="1:25" ht="12.75">
      <c r="A11" s="19" t="s">
        <v>68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>
        <v>6.24</v>
      </c>
      <c r="M11" s="19"/>
      <c r="N11" s="19"/>
      <c r="O11" s="19"/>
      <c r="P11" s="19"/>
      <c r="Q11" s="19"/>
      <c r="R11" s="19"/>
      <c r="S11" s="19"/>
      <c r="T11" s="19"/>
      <c r="U11" s="18"/>
      <c r="V11" s="18"/>
      <c r="W11" s="18"/>
      <c r="Y11" s="18"/>
    </row>
    <row r="12" spans="1:25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>
        <v>2.25</v>
      </c>
      <c r="M12" s="19" t="s">
        <v>58</v>
      </c>
      <c r="N12" s="22">
        <f aca="true" t="shared" si="6" ref="N12:V12">(N10+N7+N4)/3</f>
        <v>71.4946123063135</v>
      </c>
      <c r="O12" s="22">
        <f t="shared" si="6"/>
        <v>74.99531890994761</v>
      </c>
      <c r="P12" s="22">
        <f t="shared" si="6"/>
        <v>73.87831404558908</v>
      </c>
      <c r="Q12" s="22">
        <f t="shared" si="6"/>
        <v>68.02198017511405</v>
      </c>
      <c r="R12" s="22">
        <f t="shared" si="6"/>
        <v>71.29403754003324</v>
      </c>
      <c r="S12" s="22">
        <f t="shared" si="6"/>
        <v>58.202551374559135</v>
      </c>
      <c r="T12" s="22">
        <f t="shared" si="6"/>
        <v>48.391749845623046</v>
      </c>
      <c r="U12" s="22">
        <f t="shared" si="6"/>
        <v>43.69909391151961</v>
      </c>
      <c r="V12" s="22">
        <f t="shared" si="6"/>
        <v>47.38467633852835</v>
      </c>
      <c r="W12" s="22">
        <f>(W10+W7+W4)/3</f>
        <v>33.258201496993735</v>
      </c>
      <c r="X12" s="22">
        <f>(X10+X7+X4)/3</f>
        <v>34.75177916263896</v>
      </c>
      <c r="Y12" s="18"/>
    </row>
    <row r="13" spans="1:25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 t="s">
        <v>65</v>
      </c>
      <c r="P13" s="19" t="s">
        <v>65</v>
      </c>
      <c r="Q13" s="19" t="s">
        <v>65</v>
      </c>
      <c r="R13" s="19" t="s">
        <v>65</v>
      </c>
      <c r="S13" s="19" t="s">
        <v>64</v>
      </c>
      <c r="T13" s="19" t="s">
        <v>55</v>
      </c>
      <c r="U13" s="19" t="s">
        <v>29</v>
      </c>
      <c r="V13" s="19" t="s">
        <v>55</v>
      </c>
      <c r="W13" s="18" t="s">
        <v>83</v>
      </c>
      <c r="X13" s="18"/>
      <c r="Y13" s="18"/>
    </row>
    <row r="14" spans="1:25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21"/>
      <c r="P14" s="21"/>
      <c r="Q14" s="21"/>
      <c r="R14" s="21"/>
      <c r="S14" s="21"/>
      <c r="T14" s="19"/>
      <c r="U14" s="19"/>
      <c r="V14" s="19"/>
      <c r="W14" s="18"/>
      <c r="X14" s="18"/>
      <c r="Y14" s="18"/>
    </row>
    <row r="15" spans="1:25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 t="s">
        <v>63</v>
      </c>
      <c r="N15" s="19"/>
      <c r="O15" s="21"/>
      <c r="P15" s="21"/>
      <c r="Q15" s="21"/>
      <c r="R15" s="21"/>
      <c r="S15" s="21"/>
      <c r="T15" s="19"/>
      <c r="U15" s="19"/>
      <c r="V15" s="19"/>
      <c r="W15" s="18"/>
      <c r="X15" s="18"/>
      <c r="Y15" s="18"/>
    </row>
    <row r="16" spans="1:25" ht="12.75">
      <c r="A16" s="19" t="s">
        <v>62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v>1988</v>
      </c>
      <c r="O16" s="23">
        <v>1991</v>
      </c>
      <c r="P16" s="23">
        <v>1992</v>
      </c>
      <c r="Q16" s="23">
        <v>1993</v>
      </c>
      <c r="R16" s="23">
        <v>1994</v>
      </c>
      <c r="S16" s="23">
        <v>1995</v>
      </c>
      <c r="T16" s="19">
        <v>1996</v>
      </c>
      <c r="U16" s="19">
        <v>1997</v>
      </c>
      <c r="V16" s="19">
        <v>1998</v>
      </c>
      <c r="W16" s="18">
        <v>1999</v>
      </c>
      <c r="X16" s="18">
        <v>2000</v>
      </c>
      <c r="Y16" s="18"/>
    </row>
    <row r="17" spans="1:25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>
        <v>2000</v>
      </c>
      <c r="M17" s="19" t="s">
        <v>61</v>
      </c>
      <c r="N17" s="19"/>
      <c r="O17" s="21">
        <f aca="true" t="shared" si="7" ref="O17:X17">LN(C11)</f>
        <v>1.3837912309017721</v>
      </c>
      <c r="P17" s="21">
        <f t="shared" si="7"/>
        <v>2.4664031782234406</v>
      </c>
      <c r="Q17" s="21">
        <f t="shared" si="7"/>
        <v>2.667228206581955</v>
      </c>
      <c r="R17" s="21">
        <f t="shared" si="7"/>
        <v>3.2733640101522705</v>
      </c>
      <c r="S17" s="21">
        <f t="shared" si="7"/>
        <v>2.3942522815198695</v>
      </c>
      <c r="T17" s="21">
        <f t="shared" si="7"/>
        <v>1.1969481893889715</v>
      </c>
      <c r="U17" s="21">
        <f t="shared" si="7"/>
        <v>0.8424288832756998</v>
      </c>
      <c r="V17" s="21">
        <f t="shared" si="7"/>
        <v>1.33500106673234</v>
      </c>
      <c r="W17" s="21">
        <f t="shared" si="7"/>
        <v>1.4350845252893227</v>
      </c>
      <c r="X17" s="21">
        <f t="shared" si="7"/>
        <v>1.8309801823813363</v>
      </c>
      <c r="Y17" s="18"/>
    </row>
    <row r="18" spans="1:25" ht="12.75">
      <c r="A18" s="19" t="s">
        <v>54</v>
      </c>
      <c r="B18" s="21">
        <f aca="true" t="shared" si="8" ref="B18:L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21">
        <f t="shared" si="8"/>
        <v>0.8878912573524571</v>
      </c>
      <c r="M18" s="19"/>
      <c r="N18" s="19"/>
      <c r="O18" s="21">
        <f aca="true" t="shared" si="9" ref="O18:X18">20+(14.42*O17)</f>
        <v>39.95426954960355</v>
      </c>
      <c r="P18" s="21">
        <f t="shared" si="9"/>
        <v>55.565533829982016</v>
      </c>
      <c r="Q18" s="21">
        <f t="shared" si="9"/>
        <v>58.46143073891179</v>
      </c>
      <c r="R18" s="21">
        <f t="shared" si="9"/>
        <v>67.20190902639574</v>
      </c>
      <c r="S18" s="21">
        <f t="shared" si="9"/>
        <v>54.525117899516516</v>
      </c>
      <c r="T18" s="21">
        <f t="shared" si="9"/>
        <v>37.25999289098897</v>
      </c>
      <c r="U18" s="21">
        <f t="shared" si="9"/>
        <v>32.14782449683559</v>
      </c>
      <c r="V18" s="21">
        <f t="shared" si="9"/>
        <v>39.25071538228035</v>
      </c>
      <c r="W18" s="21">
        <f t="shared" si="9"/>
        <v>40.693918854672035</v>
      </c>
      <c r="X18" s="21">
        <f t="shared" si="9"/>
        <v>46.40273422993887</v>
      </c>
      <c r="Y18" s="18"/>
    </row>
    <row r="19" spans="1:25" ht="12.75">
      <c r="A19" s="19"/>
      <c r="B19" s="21">
        <f aca="true" t="shared" si="10" ref="B19:L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21">
        <f t="shared" si="10"/>
        <v>47.20548698155109</v>
      </c>
      <c r="M19" s="19"/>
      <c r="N19" s="19"/>
      <c r="O19" s="21"/>
      <c r="P19" s="21"/>
      <c r="Q19" s="21"/>
      <c r="R19" s="21"/>
      <c r="S19" s="21"/>
      <c r="T19" s="21"/>
      <c r="U19" s="21"/>
      <c r="V19" s="21"/>
      <c r="W19" s="21"/>
      <c r="X19" s="18"/>
      <c r="Y19" s="18"/>
    </row>
    <row r="20" spans="1:2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 t="s">
        <v>60</v>
      </c>
      <c r="N20" s="19"/>
      <c r="O20" s="21">
        <f aca="true" t="shared" si="11" ref="O20:X21">LN(C10)</f>
        <v>5.256609563148246</v>
      </c>
      <c r="P20" s="21">
        <f t="shared" si="11"/>
        <v>5.2021368080740675</v>
      </c>
      <c r="Q20" s="21">
        <f t="shared" si="11"/>
        <v>5.332235584751498</v>
      </c>
      <c r="R20" s="21">
        <f t="shared" si="11"/>
        <v>4.524719061590464</v>
      </c>
      <c r="S20" s="21">
        <f t="shared" si="11"/>
        <v>4.067315889834181</v>
      </c>
      <c r="T20" s="21">
        <f t="shared" si="11"/>
        <v>3.6282548322975017</v>
      </c>
      <c r="U20" s="21">
        <f t="shared" si="11"/>
        <v>2.6667320418459206</v>
      </c>
      <c r="V20" s="21">
        <f t="shared" si="11"/>
        <v>2.747270914255491</v>
      </c>
      <c r="W20" s="21">
        <f t="shared" si="11"/>
        <v>3.299533727885655</v>
      </c>
      <c r="X20" s="21">
        <f t="shared" si="11"/>
        <v>2.70805020110221</v>
      </c>
      <c r="Y20" s="18"/>
    </row>
    <row r="21" spans="1:25" ht="12.75">
      <c r="A21" s="19" t="s">
        <v>53</v>
      </c>
      <c r="B21" s="21">
        <f aca="true" t="shared" si="12" ref="B21:L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21">
        <f t="shared" si="12"/>
        <v>1.9740810260220096</v>
      </c>
      <c r="M21" s="19"/>
      <c r="N21" s="19"/>
      <c r="O21" s="21">
        <f aca="true" t="shared" si="13" ref="O21:V21">(20.02*O20)</f>
        <v>105.23732345422789</v>
      </c>
      <c r="P21" s="21">
        <f t="shared" si="13"/>
        <v>104.14677889764283</v>
      </c>
      <c r="Q21" s="21">
        <f t="shared" si="13"/>
        <v>106.75135640672498</v>
      </c>
      <c r="R21" s="21">
        <f t="shared" si="13"/>
        <v>90.58487561304109</v>
      </c>
      <c r="S21" s="21">
        <f t="shared" si="13"/>
        <v>81.42766411448031</v>
      </c>
      <c r="T21" s="21">
        <f t="shared" si="13"/>
        <v>72.63766174259598</v>
      </c>
      <c r="U21" s="21">
        <f t="shared" si="13"/>
        <v>53.387975477755326</v>
      </c>
      <c r="V21" s="21">
        <f t="shared" si="13"/>
        <v>55.00036370339493</v>
      </c>
      <c r="W21" s="21">
        <f t="shared" si="11"/>
        <v>1.4350845252893227</v>
      </c>
      <c r="X21" s="21">
        <f t="shared" si="11"/>
        <v>1.8309801823813363</v>
      </c>
      <c r="Y21" s="18"/>
    </row>
    <row r="22" spans="1:25" ht="12.75">
      <c r="A22" s="19"/>
      <c r="B22" s="21">
        <f aca="true" t="shared" si="14" ref="B22:L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21">
        <f t="shared" si="14"/>
        <v>49.96573486527592</v>
      </c>
      <c r="M22" s="19"/>
      <c r="N22" s="19"/>
      <c r="O22" s="21"/>
      <c r="P22" s="21"/>
      <c r="Q22" s="21"/>
      <c r="R22" s="21"/>
      <c r="S22" s="21"/>
      <c r="T22" s="21"/>
      <c r="U22" s="21"/>
      <c r="V22" s="18"/>
      <c r="W22" s="18"/>
      <c r="X22" s="18"/>
      <c r="Y22" s="18"/>
    </row>
    <row r="23" spans="1:25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 t="s">
        <v>59</v>
      </c>
      <c r="N23" s="19"/>
      <c r="O23" s="21">
        <f aca="true" t="shared" si="15" ref="O23:X23">LN(1/C12-0.08)</f>
        <v>-0.8852504124795058</v>
      </c>
      <c r="P23" s="21">
        <f t="shared" si="15"/>
        <v>-0.9372638552544341</v>
      </c>
      <c r="Q23" s="21">
        <f t="shared" si="15"/>
        <v>-0.998503205839816</v>
      </c>
      <c r="R23" s="21">
        <f t="shared" si="15"/>
        <v>-0.6768107612402517</v>
      </c>
      <c r="S23" s="21">
        <f t="shared" si="15"/>
        <v>-0.31958340121365647</v>
      </c>
      <c r="T23" s="21">
        <f t="shared" si="15"/>
        <v>-2.4456859366347192</v>
      </c>
      <c r="U23" s="21">
        <f t="shared" si="15"/>
        <v>-1.5004476287256954</v>
      </c>
      <c r="V23" s="21">
        <f t="shared" si="15"/>
        <v>-1.1887053321951477</v>
      </c>
      <c r="W23" s="21">
        <f t="shared" si="15"/>
        <v>-0.8067285293626288</v>
      </c>
      <c r="X23" s="21">
        <f t="shared" si="15"/>
        <v>-1.0093811549401672</v>
      </c>
      <c r="Y23" s="18"/>
    </row>
    <row r="24" spans="1:25" ht="12.75">
      <c r="A24" s="19" t="s">
        <v>52</v>
      </c>
      <c r="B24" s="21">
        <f aca="true" t="shared" si="16" ref="B24:L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21">
        <f t="shared" si="16"/>
        <v>3.044522437723423</v>
      </c>
      <c r="M24" s="19"/>
      <c r="N24" s="19"/>
      <c r="O24" s="21">
        <f aca="true" t="shared" si="17" ref="O24:X24">75.3+(19.46*O23)</f>
        <v>58.073026973148814</v>
      </c>
      <c r="P24" s="21">
        <f t="shared" si="17"/>
        <v>57.06084537674871</v>
      </c>
      <c r="Q24" s="21">
        <f t="shared" si="17"/>
        <v>55.869127614357176</v>
      </c>
      <c r="R24" s="21">
        <f t="shared" si="17"/>
        <v>62.1292625862647</v>
      </c>
      <c r="S24" s="21">
        <f t="shared" si="17"/>
        <v>69.08090701238224</v>
      </c>
      <c r="T24" s="21">
        <f t="shared" si="17"/>
        <v>27.706951673088362</v>
      </c>
      <c r="U24" s="21">
        <f t="shared" si="17"/>
        <v>46.10128914499796</v>
      </c>
      <c r="V24" s="21">
        <f t="shared" si="17"/>
        <v>52.16779423548242</v>
      </c>
      <c r="W24" s="21">
        <f t="shared" si="17"/>
        <v>59.60106281860324</v>
      </c>
      <c r="X24" s="21">
        <f t="shared" si="17"/>
        <v>55.65744272486434</v>
      </c>
      <c r="Y24" s="18"/>
    </row>
    <row r="25" spans="1:25" ht="12.75">
      <c r="A25" s="19"/>
      <c r="B25" s="21">
        <f aca="true" t="shared" si="18" ref="B25:L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21">
        <f t="shared" si="18"/>
        <v>48.05201355197176</v>
      </c>
      <c r="M25" s="19"/>
      <c r="N25" s="19"/>
      <c r="O25" s="19"/>
      <c r="P25" s="19"/>
      <c r="Q25" s="19"/>
      <c r="R25" s="19"/>
      <c r="S25" s="19"/>
      <c r="T25" s="19"/>
      <c r="U25" s="19"/>
      <c r="V25" s="18"/>
      <c r="W25" s="18"/>
      <c r="X25" s="18"/>
      <c r="Y25" s="18"/>
    </row>
    <row r="26" spans="1:25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 t="s">
        <v>58</v>
      </c>
      <c r="N26" s="19"/>
      <c r="O26" s="22">
        <f aca="true" t="shared" si="19" ref="O26:V26">(O24+O21+O18)/3</f>
        <v>67.75487332566009</v>
      </c>
      <c r="P26" s="22">
        <f t="shared" si="19"/>
        <v>72.25771936812453</v>
      </c>
      <c r="Q26" s="22">
        <f t="shared" si="19"/>
        <v>73.69397158666465</v>
      </c>
      <c r="R26" s="22">
        <f t="shared" si="19"/>
        <v>73.30534907523385</v>
      </c>
      <c r="S26" s="22">
        <f t="shared" si="19"/>
        <v>68.34456300879302</v>
      </c>
      <c r="T26" s="22">
        <f t="shared" si="19"/>
        <v>45.86820210222444</v>
      </c>
      <c r="U26" s="22">
        <f t="shared" si="19"/>
        <v>43.87902970652963</v>
      </c>
      <c r="V26" s="22">
        <f t="shared" si="19"/>
        <v>48.80629110705257</v>
      </c>
      <c r="W26" s="22">
        <f>(W24+W21+W18)/3</f>
        <v>33.9100220661882</v>
      </c>
      <c r="X26" s="22">
        <f>(X24+X21+X18)/3</f>
        <v>34.63038571239485</v>
      </c>
      <c r="Y26" s="18"/>
    </row>
    <row r="27" spans="1:25" ht="12.75">
      <c r="A27" s="19" t="s">
        <v>57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/>
      <c r="O27" s="19" t="s">
        <v>56</v>
      </c>
      <c r="P27" s="19" t="s">
        <v>56</v>
      </c>
      <c r="Q27" s="19" t="s">
        <v>56</v>
      </c>
      <c r="R27" s="19" t="s">
        <v>56</v>
      </c>
      <c r="S27" s="19" t="s">
        <v>56</v>
      </c>
      <c r="T27" s="18" t="s">
        <v>55</v>
      </c>
      <c r="U27" s="18" t="s">
        <v>29</v>
      </c>
      <c r="V27" s="18" t="s">
        <v>55</v>
      </c>
      <c r="W27" s="18" t="s">
        <v>83</v>
      </c>
      <c r="X27" s="18"/>
      <c r="Y27" s="18"/>
    </row>
    <row r="28" spans="1:25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>
        <v>2000</v>
      </c>
      <c r="M28" s="19"/>
      <c r="N28" s="19"/>
      <c r="O28" s="19"/>
      <c r="P28" s="19"/>
      <c r="Q28" s="19"/>
      <c r="R28" s="19"/>
      <c r="S28" s="19"/>
      <c r="T28" s="18"/>
      <c r="U28" s="18"/>
      <c r="V28" s="18"/>
      <c r="W28" s="18"/>
      <c r="X28" s="18"/>
      <c r="Y28" s="18"/>
    </row>
    <row r="29" spans="1:25" ht="12.75">
      <c r="A29" s="19" t="s">
        <v>21</v>
      </c>
      <c r="B29" s="19"/>
      <c r="C29" s="21">
        <f aca="true" t="shared" si="20" ref="C29:L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21">
        <f t="shared" si="20"/>
        <v>0.8109302162163288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19"/>
      <c r="B30" s="19"/>
      <c r="C30" s="21">
        <f aca="true" t="shared" si="21" ref="C30:L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21">
        <f t="shared" si="21"/>
        <v>48.3144955843227</v>
      </c>
      <c r="M30" s="19"/>
      <c r="N30" s="19"/>
      <c r="O30" s="19"/>
      <c r="P30" s="19"/>
      <c r="Q30" s="19"/>
      <c r="R30" s="19"/>
      <c r="S30" s="19"/>
      <c r="T30" s="18"/>
      <c r="U30" s="18"/>
      <c r="V30" s="18"/>
      <c r="W30" s="18"/>
      <c r="X30" s="18"/>
      <c r="Y30" s="18"/>
    </row>
    <row r="31" spans="1:25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8"/>
      <c r="U31" s="18"/>
      <c r="V31" s="18"/>
      <c r="W31" s="18"/>
      <c r="X31" s="18"/>
      <c r="Y31" s="18"/>
    </row>
    <row r="32" spans="1:25" ht="12.75">
      <c r="A32" s="19" t="s">
        <v>17</v>
      </c>
      <c r="B32" s="19"/>
      <c r="C32" s="21">
        <f aca="true" t="shared" si="22" ref="C32:L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21">
        <f t="shared" si="22"/>
        <v>1.8309801823813363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>
      <c r="A33" s="19"/>
      <c r="B33" s="19"/>
      <c r="C33" s="21">
        <f aca="true" t="shared" si="23" ref="C33:L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21">
        <f t="shared" si="23"/>
        <v>48.56191558916091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21">
        <f>LN(L10)</f>
        <v>2.70805020110221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.75">
      <c r="A36" s="19"/>
      <c r="B36" s="19"/>
      <c r="C36" s="21">
        <f aca="true" t="shared" si="25" ref="C36:L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21">
        <f t="shared" si="25"/>
        <v>43.20008389989387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18"/>
      <c r="B42" s="18"/>
      <c r="C42" s="18"/>
      <c r="D42" s="18"/>
      <c r="E42" s="18"/>
      <c r="F42" s="18"/>
      <c r="G42" s="186" t="s">
        <v>79</v>
      </c>
      <c r="H42" s="186" t="s">
        <v>87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>
      <c r="A43" s="18"/>
      <c r="B43" s="18"/>
      <c r="C43" s="18"/>
      <c r="D43" s="18"/>
      <c r="E43" s="18"/>
      <c r="F43" s="18"/>
      <c r="G43" s="186" t="s">
        <v>77</v>
      </c>
      <c r="H43" s="186" t="s">
        <v>86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.75">
      <c r="A44" s="18"/>
      <c r="B44" s="18"/>
      <c r="C44" s="18"/>
      <c r="D44" s="18"/>
      <c r="E44" s="18"/>
      <c r="F44" s="18"/>
      <c r="G44" s="186" t="s">
        <v>74</v>
      </c>
      <c r="H44" s="186" t="s">
        <v>85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2.75">
      <c r="A45" s="18"/>
      <c r="B45" s="18"/>
      <c r="C45" s="18"/>
      <c r="D45" s="18"/>
      <c r="E45" s="18"/>
      <c r="F45" s="18"/>
      <c r="G45" s="186" t="s">
        <v>72</v>
      </c>
      <c r="H45" s="186" t="s">
        <v>84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>
      <c r="A46" s="20" t="s">
        <v>51</v>
      </c>
      <c r="B46" s="19"/>
      <c r="C46" s="19" t="s">
        <v>50</v>
      </c>
      <c r="D46" s="19"/>
      <c r="E46" s="19"/>
      <c r="F46" s="19"/>
      <c r="G46" s="186" t="s">
        <v>70</v>
      </c>
      <c r="H46" s="186" t="s">
        <v>83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2.75">
      <c r="A47" s="20" t="s">
        <v>49</v>
      </c>
      <c r="B47" s="19"/>
      <c r="C47" s="19" t="s">
        <v>48</v>
      </c>
      <c r="D47" s="19"/>
      <c r="E47" s="19"/>
      <c r="F47" s="19"/>
      <c r="G47" s="186" t="s">
        <v>67</v>
      </c>
      <c r="H47" s="186" t="s">
        <v>82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>
      <c r="A48" s="20" t="s">
        <v>47</v>
      </c>
      <c r="B48" s="19"/>
      <c r="C48" s="19" t="s">
        <v>46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6"/>
  <sheetViews>
    <sheetView workbookViewId="0" topLeftCell="A1">
      <selection activeCell="B3" sqref="B3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2000</v>
      </c>
      <c r="B1" s="10" t="s">
        <v>15</v>
      </c>
    </row>
    <row r="2" spans="2:4" ht="12.75">
      <c r="B2" s="10" t="s">
        <v>37</v>
      </c>
      <c r="C2" s="10" t="s">
        <v>17</v>
      </c>
      <c r="D2" s="10" t="s">
        <v>16</v>
      </c>
    </row>
    <row r="3" spans="1:5" ht="16.5">
      <c r="A3" s="171" t="s">
        <v>88</v>
      </c>
      <c r="B3" s="169"/>
      <c r="E3" s="10" t="s">
        <v>88</v>
      </c>
    </row>
    <row r="4" spans="1:5" ht="16.5">
      <c r="A4" s="171" t="s">
        <v>0</v>
      </c>
      <c r="B4" s="169">
        <v>10</v>
      </c>
      <c r="C4" s="172">
        <v>11.12</v>
      </c>
      <c r="D4" s="10">
        <v>3</v>
      </c>
      <c r="E4" s="10" t="s">
        <v>0</v>
      </c>
    </row>
    <row r="5" spans="1:5" ht="16.5">
      <c r="A5" s="171" t="s">
        <v>1</v>
      </c>
      <c r="B5" s="170">
        <v>30</v>
      </c>
      <c r="C5" s="172">
        <v>10.43</v>
      </c>
      <c r="D5" s="10">
        <v>2</v>
      </c>
      <c r="E5" s="10" t="s">
        <v>1</v>
      </c>
    </row>
    <row r="6" spans="1:5" ht="16.5">
      <c r="A6" s="171" t="s">
        <v>2</v>
      </c>
      <c r="B6" s="169">
        <v>30</v>
      </c>
      <c r="C6" s="173">
        <v>10.08</v>
      </c>
      <c r="D6" s="10">
        <v>3</v>
      </c>
      <c r="E6" s="10" t="s">
        <v>2</v>
      </c>
    </row>
    <row r="7" spans="1:5" ht="16.5">
      <c r="A7" s="171" t="s">
        <v>3</v>
      </c>
      <c r="B7" s="169">
        <v>20</v>
      </c>
      <c r="C7" s="174">
        <v>1.92</v>
      </c>
      <c r="D7" s="10">
        <v>4</v>
      </c>
      <c r="E7" s="10" t="s">
        <v>3</v>
      </c>
    </row>
    <row r="8" spans="1:5" ht="16.5">
      <c r="A8" s="171" t="s">
        <v>4</v>
      </c>
      <c r="B8" s="170">
        <v>10</v>
      </c>
      <c r="C8" s="173">
        <v>8.69</v>
      </c>
      <c r="D8" s="10">
        <v>2</v>
      </c>
      <c r="E8" s="10" t="s">
        <v>4</v>
      </c>
    </row>
    <row r="9" spans="1:5" ht="16.5">
      <c r="A9" s="171" t="s">
        <v>5</v>
      </c>
      <c r="B9" s="169">
        <v>10</v>
      </c>
      <c r="C9" s="173">
        <f>10.65/2</f>
        <v>5.325</v>
      </c>
      <c r="D9" s="10">
        <v>2</v>
      </c>
      <c r="E9" s="10" t="s">
        <v>5</v>
      </c>
    </row>
    <row r="10" spans="1:5" ht="16.5">
      <c r="A10" s="171" t="s">
        <v>6</v>
      </c>
      <c r="B10" s="169">
        <v>15</v>
      </c>
      <c r="C10" s="174">
        <v>4.05</v>
      </c>
      <c r="D10" s="10">
        <v>3.6</v>
      </c>
      <c r="E10" s="10" t="s">
        <v>6</v>
      </c>
    </row>
    <row r="11" spans="1:5" ht="16.5">
      <c r="A11" s="171" t="s">
        <v>7</v>
      </c>
      <c r="B11" s="169">
        <v>20</v>
      </c>
      <c r="C11" s="175">
        <f>20.69/3</f>
        <v>6.896666666666667</v>
      </c>
      <c r="D11" s="10">
        <v>2</v>
      </c>
      <c r="E11" s="10" t="s">
        <v>7</v>
      </c>
    </row>
    <row r="12" spans="1:5" ht="16.5">
      <c r="A12" s="171" t="s">
        <v>8</v>
      </c>
      <c r="B12" s="170">
        <v>30</v>
      </c>
      <c r="C12" s="173">
        <v>17.73</v>
      </c>
      <c r="D12" s="10">
        <v>1</v>
      </c>
      <c r="E12" s="10" t="s">
        <v>8</v>
      </c>
    </row>
    <row r="13" spans="1:5" ht="16.5">
      <c r="A13" s="171" t="s">
        <v>9</v>
      </c>
      <c r="B13" s="169">
        <v>30</v>
      </c>
      <c r="C13" s="164">
        <v>5.56</v>
      </c>
      <c r="D13" s="10">
        <v>3</v>
      </c>
      <c r="E13" s="10" t="s">
        <v>9</v>
      </c>
    </row>
    <row r="14" spans="1:5" ht="16.5">
      <c r="A14" s="171" t="s">
        <v>10</v>
      </c>
      <c r="B14" s="169"/>
      <c r="E14" s="10" t="s">
        <v>10</v>
      </c>
    </row>
    <row r="15" spans="1:4" ht="12.75">
      <c r="A15" s="165" t="s">
        <v>100</v>
      </c>
      <c r="B15" s="17">
        <f>AVERAGE(B3:B14)</f>
        <v>20.5</v>
      </c>
      <c r="C15" s="17">
        <f>AVERAGE(C3:C14)</f>
        <v>8.180166666666667</v>
      </c>
      <c r="D15" s="17">
        <f>AVERAGE(D3:D14)</f>
        <v>2.56</v>
      </c>
    </row>
    <row r="16" spans="1:4" ht="12.75">
      <c r="A16" s="165" t="s">
        <v>188</v>
      </c>
      <c r="B16" s="17">
        <f>AVERAGE(B8:B11)</f>
        <v>13.75</v>
      </c>
      <c r="C16" s="13">
        <f>AVERAGE(C8:C11)</f>
        <v>6.240416666666667</v>
      </c>
      <c r="D16" s="17">
        <f>AVERAGE(D8:D11)</f>
        <v>2.4</v>
      </c>
    </row>
    <row r="17" spans="1:2" ht="12.75">
      <c r="A17" s="12"/>
      <c r="B17" s="100"/>
    </row>
    <row r="19" spans="1:7" ht="12.75">
      <c r="A19" s="10" t="s">
        <v>100</v>
      </c>
      <c r="B19" s="9" t="s">
        <v>17</v>
      </c>
      <c r="C19" s="9" t="s">
        <v>37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7" ht="12.75">
      <c r="A37" s="10">
        <v>2000</v>
      </c>
      <c r="B37" s="9">
        <v>7.5</v>
      </c>
      <c r="C37" s="9">
        <v>12</v>
      </c>
      <c r="E37" s="1"/>
      <c r="F37" s="16"/>
      <c r="G37"/>
    </row>
    <row r="38" spans="1:10" ht="12.75">
      <c r="A38" s="10" t="s">
        <v>187</v>
      </c>
      <c r="B38" s="9" t="s">
        <v>17</v>
      </c>
      <c r="C38" s="9" t="s">
        <v>37</v>
      </c>
      <c r="D38" s="10" t="s">
        <v>44</v>
      </c>
      <c r="E38" s="1" t="s">
        <v>45</v>
      </c>
      <c r="F38" s="16"/>
      <c r="G38" t="s">
        <v>123</v>
      </c>
      <c r="H38" s="10" t="s">
        <v>37</v>
      </c>
      <c r="I38" s="10" t="s">
        <v>124</v>
      </c>
      <c r="J38" s="10" t="s">
        <v>125</v>
      </c>
    </row>
    <row r="39" spans="1:11" ht="12.75">
      <c r="A39" s="9">
        <v>1982</v>
      </c>
      <c r="B39" s="9">
        <v>15</v>
      </c>
      <c r="C39" s="9">
        <v>23</v>
      </c>
      <c r="D39" s="10">
        <f>LOG(B39)</f>
        <v>1.1760912590556813</v>
      </c>
      <c r="E39" s="10">
        <f>LOG(C39)</f>
        <v>1.3617278360175928</v>
      </c>
      <c r="F39" s="16"/>
      <c r="G39"/>
      <c r="H39" s="10">
        <v>14.3</v>
      </c>
      <c r="I39" s="10">
        <v>3.3</v>
      </c>
      <c r="J39" s="10">
        <v>4.6</v>
      </c>
      <c r="K39" s="10" t="s">
        <v>126</v>
      </c>
    </row>
    <row r="40" spans="1:7" ht="12.75">
      <c r="A40" s="9">
        <v>1983</v>
      </c>
      <c r="B40" s="9">
        <v>16</v>
      </c>
      <c r="C40" s="9">
        <v>50</v>
      </c>
      <c r="D40" s="10">
        <f aca="true" t="shared" si="0" ref="D40:D56">LOG(B40)</f>
        <v>1.2041199826559248</v>
      </c>
      <c r="E40" s="10">
        <f aca="true" t="shared" si="1" ref="E40:E56">LOG(C40)</f>
        <v>1.6989700043360187</v>
      </c>
      <c r="F40" s="16"/>
      <c r="G40"/>
    </row>
    <row r="41" spans="1:7" ht="12.75">
      <c r="A41" s="9">
        <v>1984</v>
      </c>
      <c r="B41" s="9">
        <v>6.7</v>
      </c>
      <c r="C41" s="9">
        <v>35</v>
      </c>
      <c r="D41" s="10">
        <f t="shared" si="0"/>
        <v>0.8260748027008264</v>
      </c>
      <c r="E41" s="10">
        <f t="shared" si="1"/>
        <v>1.5440680443502757</v>
      </c>
      <c r="F41" s="16"/>
      <c r="G41"/>
    </row>
    <row r="42" spans="1:7" ht="12.75">
      <c r="A42" s="9">
        <v>1985</v>
      </c>
      <c r="B42" s="9">
        <v>8.9</v>
      </c>
      <c r="C42" s="9">
        <v>28</v>
      </c>
      <c r="D42" s="10">
        <f t="shared" si="0"/>
        <v>0.9493900066449128</v>
      </c>
      <c r="E42" s="10">
        <f t="shared" si="1"/>
        <v>1.4471580313422192</v>
      </c>
      <c r="F42" s="16"/>
      <c r="G42"/>
    </row>
    <row r="43" spans="1:7" ht="12.75">
      <c r="A43" s="9">
        <v>1987</v>
      </c>
      <c r="B43" s="9">
        <v>15</v>
      </c>
      <c r="C43" s="9">
        <v>60</v>
      </c>
      <c r="D43" s="10">
        <f t="shared" si="0"/>
        <v>1.1760912590556813</v>
      </c>
      <c r="E43" s="10">
        <f t="shared" si="1"/>
        <v>1.7781512503836436</v>
      </c>
      <c r="F43" s="16"/>
      <c r="G43"/>
    </row>
    <row r="44" spans="1:7" ht="12.75">
      <c r="A44" s="9">
        <v>1988</v>
      </c>
      <c r="B44" s="9">
        <v>9</v>
      </c>
      <c r="C44" s="9">
        <v>15</v>
      </c>
      <c r="D44" s="10">
        <f t="shared" si="0"/>
        <v>0.9542425094393249</v>
      </c>
      <c r="E44" s="10">
        <f t="shared" si="1"/>
        <v>1.1760912590556813</v>
      </c>
      <c r="F44" s="16"/>
      <c r="G44"/>
    </row>
    <row r="45" spans="1:7" ht="12.75">
      <c r="A45" s="9">
        <v>1989</v>
      </c>
      <c r="B45" s="9">
        <v>2.3</v>
      </c>
      <c r="C45" s="9">
        <v>12</v>
      </c>
      <c r="D45" s="10">
        <f t="shared" si="0"/>
        <v>0.36172783601759284</v>
      </c>
      <c r="E45" s="10">
        <f t="shared" si="1"/>
        <v>1.0791812460476249</v>
      </c>
      <c r="F45" s="16"/>
      <c r="G45"/>
    </row>
    <row r="46" spans="1:7" ht="12.75">
      <c r="A46" s="9">
        <v>1990</v>
      </c>
      <c r="B46" s="9">
        <v>6.6</v>
      </c>
      <c r="C46" s="9">
        <v>27</v>
      </c>
      <c r="D46" s="10">
        <f t="shared" si="0"/>
        <v>0.8195439355418687</v>
      </c>
      <c r="E46" s="10">
        <f t="shared" si="1"/>
        <v>1.4313637641589874</v>
      </c>
      <c r="F46" s="16"/>
      <c r="G46"/>
    </row>
    <row r="47" spans="1:7" ht="12.75">
      <c r="A47" s="9">
        <v>1991</v>
      </c>
      <c r="B47" s="9">
        <v>4.6</v>
      </c>
      <c r="C47" s="9">
        <v>29</v>
      </c>
      <c r="D47" s="10">
        <f t="shared" si="0"/>
        <v>0.6627578316815741</v>
      </c>
      <c r="E47" s="10">
        <f t="shared" si="1"/>
        <v>1.462397997898956</v>
      </c>
      <c r="F47" s="16"/>
      <c r="G47"/>
    </row>
    <row r="48" spans="1:7" ht="12.75">
      <c r="A48" s="9">
        <v>1992</v>
      </c>
      <c r="B48" s="9">
        <v>4.5</v>
      </c>
      <c r="C48" s="9">
        <v>27</v>
      </c>
      <c r="D48" s="10">
        <f t="shared" si="0"/>
        <v>0.6532125137753437</v>
      </c>
      <c r="E48" s="10">
        <f t="shared" si="1"/>
        <v>1.4313637641589874</v>
      </c>
      <c r="F48" s="16"/>
      <c r="G48"/>
    </row>
    <row r="49" spans="1:7" ht="12.75">
      <c r="A49" s="9">
        <v>1993</v>
      </c>
      <c r="B49" s="9">
        <v>4.1</v>
      </c>
      <c r="C49" s="9">
        <v>18</v>
      </c>
      <c r="D49" s="10">
        <f t="shared" si="0"/>
        <v>0.6127838567197355</v>
      </c>
      <c r="E49" s="10">
        <f t="shared" si="1"/>
        <v>1.255272505103306</v>
      </c>
      <c r="F49" s="16"/>
      <c r="G49"/>
    </row>
    <row r="50" spans="1:7" ht="12.75">
      <c r="A50" s="9">
        <v>1994</v>
      </c>
      <c r="B50" s="9">
        <v>3.2</v>
      </c>
      <c r="C50" s="9">
        <v>29</v>
      </c>
      <c r="D50" s="10">
        <f t="shared" si="0"/>
        <v>0.505149978319906</v>
      </c>
      <c r="E50" s="10">
        <f t="shared" si="1"/>
        <v>1.462397997898956</v>
      </c>
      <c r="F50" s="16"/>
      <c r="G50"/>
    </row>
    <row r="51" spans="1:7" ht="12.75">
      <c r="A51" s="9">
        <v>1995</v>
      </c>
      <c r="B51" s="9">
        <v>1.2</v>
      </c>
      <c r="C51" s="9">
        <v>20</v>
      </c>
      <c r="D51" s="10">
        <f t="shared" si="0"/>
        <v>0.07918124604762482</v>
      </c>
      <c r="E51" s="10">
        <f t="shared" si="1"/>
        <v>1.3010299956639813</v>
      </c>
      <c r="F51" s="16"/>
      <c r="G51"/>
    </row>
    <row r="52" spans="1:7" ht="12.75">
      <c r="A52" s="9">
        <v>1996</v>
      </c>
      <c r="B52" s="9">
        <v>4.3</v>
      </c>
      <c r="C52" s="9">
        <v>37</v>
      </c>
      <c r="D52" s="10">
        <f t="shared" si="0"/>
        <v>0.6334684555795865</v>
      </c>
      <c r="E52" s="10">
        <f t="shared" si="1"/>
        <v>1.568201724066995</v>
      </c>
      <c r="F52" s="16"/>
      <c r="G52"/>
    </row>
    <row r="53" spans="1:7" ht="12.75">
      <c r="A53" s="9">
        <v>1997</v>
      </c>
      <c r="B53" s="9">
        <v>2.8</v>
      </c>
      <c r="C53" s="9">
        <v>15</v>
      </c>
      <c r="D53" s="10">
        <f t="shared" si="0"/>
        <v>0.4471580313422192</v>
      </c>
      <c r="E53" s="10">
        <f t="shared" si="1"/>
        <v>1.1760912590556813</v>
      </c>
      <c r="F53" s="16"/>
      <c r="G53"/>
    </row>
    <row r="54" spans="1:7" ht="12.75">
      <c r="A54" s="9">
        <v>1998</v>
      </c>
      <c r="B54" s="9">
        <v>2.9</v>
      </c>
      <c r="C54" s="9">
        <v>17</v>
      </c>
      <c r="D54" s="10">
        <f t="shared" si="0"/>
        <v>0.4623979978989561</v>
      </c>
      <c r="E54" s="10">
        <f t="shared" si="1"/>
        <v>1.2304489213782739</v>
      </c>
      <c r="F54" s="16"/>
      <c r="G54"/>
    </row>
    <row r="55" spans="1:7" ht="12.75">
      <c r="A55" s="9">
        <v>1999</v>
      </c>
      <c r="B55" s="9">
        <v>3</v>
      </c>
      <c r="C55" s="9">
        <v>17</v>
      </c>
      <c r="D55" s="10">
        <f t="shared" si="0"/>
        <v>0.47712125471966244</v>
      </c>
      <c r="E55" s="10">
        <f t="shared" si="1"/>
        <v>1.2304489213782739</v>
      </c>
      <c r="F55" s="16"/>
      <c r="G55"/>
    </row>
    <row r="56" spans="1:7" ht="12.75">
      <c r="A56" s="9">
        <v>2000</v>
      </c>
      <c r="B56" s="9">
        <v>6.24</v>
      </c>
      <c r="C56" s="9">
        <v>14</v>
      </c>
      <c r="D56" s="10">
        <f t="shared" si="0"/>
        <v>0.795184589682424</v>
      </c>
      <c r="E56" s="10">
        <f t="shared" si="1"/>
        <v>1.146128035678238</v>
      </c>
      <c r="F56" s="16"/>
      <c r="G56"/>
    </row>
    <row r="57" spans="5:7" ht="12.75">
      <c r="E57" s="1"/>
      <c r="F57" s="16"/>
      <c r="G57"/>
    </row>
    <row r="58" spans="1:7" ht="12.75">
      <c r="A58" s="7"/>
      <c r="B58" s="7"/>
      <c r="C58" s="7"/>
      <c r="D58" s="7"/>
      <c r="E58" s="129"/>
      <c r="F58" s="130"/>
      <c r="G58"/>
    </row>
    <row r="59" spans="1:7" ht="12.75">
      <c r="A59" s="131" t="s">
        <v>146</v>
      </c>
      <c r="B59" s="132"/>
      <c r="C59" s="132"/>
      <c r="D59" s="7"/>
      <c r="E59" s="129"/>
      <c r="F59" s="130"/>
      <c r="G59"/>
    </row>
    <row r="60" spans="1:7" ht="12.75">
      <c r="A60" s="131" t="s">
        <v>186</v>
      </c>
      <c r="B60" s="132"/>
      <c r="C60" s="132"/>
      <c r="D60" s="7"/>
      <c r="E60" s="129"/>
      <c r="F60" s="130"/>
      <c r="G60"/>
    </row>
    <row r="61" spans="1:7" ht="12.75">
      <c r="A61" s="131" t="s">
        <v>147</v>
      </c>
      <c r="B61" s="132"/>
      <c r="C61" s="132"/>
      <c r="D61" s="7"/>
      <c r="E61" s="129"/>
      <c r="F61" s="130"/>
      <c r="G61"/>
    </row>
    <row r="62" spans="1:7" ht="15.75">
      <c r="A62" s="120"/>
      <c r="B62" s="6" t="s">
        <v>148</v>
      </c>
      <c r="C62" s="7"/>
      <c r="E62" s="1"/>
      <c r="F62" s="16"/>
      <c r="G62"/>
    </row>
    <row r="63" spans="1:7" ht="15.75">
      <c r="A63" s="120"/>
      <c r="B63" s="6" t="s">
        <v>149</v>
      </c>
      <c r="C63" s="6" t="s">
        <v>20</v>
      </c>
      <c r="E63" s="1"/>
      <c r="F63" s="16"/>
      <c r="G63"/>
    </row>
    <row r="64" spans="1:7" ht="12.75">
      <c r="A64"/>
      <c r="B64" s="6" t="s">
        <v>150</v>
      </c>
      <c r="C64" s="6" t="s">
        <v>150</v>
      </c>
      <c r="E64" s="1"/>
      <c r="F64" s="16"/>
      <c r="G64"/>
    </row>
    <row r="65" spans="1:7" ht="18.75">
      <c r="A65" s="121" t="s">
        <v>24</v>
      </c>
      <c r="B65" s="119" t="s">
        <v>169</v>
      </c>
      <c r="C65" s="119" t="s">
        <v>151</v>
      </c>
      <c r="E65" s="1"/>
      <c r="F65" s="16"/>
      <c r="G65"/>
    </row>
    <row r="66" spans="1:7" ht="15.75">
      <c r="A66" s="121">
        <v>1982</v>
      </c>
      <c r="B66" s="155">
        <v>23</v>
      </c>
      <c r="C66" s="122">
        <v>15</v>
      </c>
      <c r="E66" s="1"/>
      <c r="F66" s="16"/>
      <c r="G66"/>
    </row>
    <row r="67" spans="1:7" ht="15.75">
      <c r="A67" s="121">
        <v>1983</v>
      </c>
      <c r="B67" s="155">
        <v>50</v>
      </c>
      <c r="C67" s="122">
        <v>16</v>
      </c>
      <c r="E67" s="1"/>
      <c r="F67" s="16"/>
      <c r="G67"/>
    </row>
    <row r="68" spans="1:7" ht="15.75">
      <c r="A68" s="121">
        <v>1984</v>
      </c>
      <c r="B68" s="155">
        <v>35</v>
      </c>
      <c r="C68" s="121">
        <v>6.7</v>
      </c>
      <c r="E68" s="1"/>
      <c r="F68" s="16"/>
      <c r="G68"/>
    </row>
    <row r="69" spans="1:7" ht="15.75">
      <c r="A69" s="121">
        <v>1985</v>
      </c>
      <c r="B69" s="155">
        <v>28</v>
      </c>
      <c r="C69" s="121">
        <v>8.9</v>
      </c>
      <c r="E69" s="1"/>
      <c r="F69" s="16"/>
      <c r="G69"/>
    </row>
    <row r="70" spans="1:7" ht="18.75">
      <c r="A70" s="121">
        <v>1986</v>
      </c>
      <c r="B70" s="156" t="s">
        <v>152</v>
      </c>
      <c r="C70" s="123" t="s">
        <v>152</v>
      </c>
      <c r="E70" s="1"/>
      <c r="F70" s="16"/>
      <c r="G70"/>
    </row>
    <row r="71" spans="1:7" ht="15.75">
      <c r="A71" s="121">
        <v>1987</v>
      </c>
      <c r="B71" s="155">
        <v>77</v>
      </c>
      <c r="C71" s="124">
        <v>5.683333333333334</v>
      </c>
      <c r="E71" s="1"/>
      <c r="F71" s="16"/>
      <c r="G71"/>
    </row>
    <row r="72" spans="1:7" ht="15.75">
      <c r="A72" s="121">
        <v>1988</v>
      </c>
      <c r="B72" s="155">
        <v>23</v>
      </c>
      <c r="C72" s="125">
        <v>7.6433333333333335</v>
      </c>
      <c r="E72" s="1"/>
      <c r="F72" s="16"/>
      <c r="G72"/>
    </row>
    <row r="73" spans="1:7" ht="15.75">
      <c r="A73" s="121">
        <v>1989</v>
      </c>
      <c r="B73" s="155">
        <v>11</v>
      </c>
      <c r="C73" s="125">
        <v>3.6277777777777778</v>
      </c>
      <c r="E73" s="1"/>
      <c r="F73" s="16"/>
      <c r="G73"/>
    </row>
    <row r="74" spans="1:7" ht="15.75">
      <c r="A74" s="121">
        <v>1990</v>
      </c>
      <c r="B74" s="155">
        <v>15</v>
      </c>
      <c r="C74" s="125">
        <v>7.066666666666666</v>
      </c>
      <c r="E74" s="1"/>
      <c r="F74" s="16"/>
      <c r="G74"/>
    </row>
    <row r="75" spans="1:7" ht="15.75">
      <c r="A75" s="121">
        <v>1991</v>
      </c>
      <c r="B75" s="155">
        <v>25</v>
      </c>
      <c r="C75" s="126">
        <v>2.983333333333333</v>
      </c>
      <c r="E75" s="1"/>
      <c r="F75" s="16"/>
      <c r="G75"/>
    </row>
    <row r="76" spans="1:7" ht="15.75">
      <c r="A76" s="121">
        <v>1992</v>
      </c>
      <c r="B76" s="155">
        <v>15</v>
      </c>
      <c r="C76" s="126">
        <v>3.9291666666666663</v>
      </c>
      <c r="E76" s="1"/>
      <c r="F76" s="16"/>
      <c r="G76"/>
    </row>
    <row r="77" spans="1:7" ht="15.75">
      <c r="A77" s="121">
        <v>1993</v>
      </c>
      <c r="B77" s="155">
        <v>15</v>
      </c>
      <c r="C77" s="126">
        <v>3.9916666666666667</v>
      </c>
      <c r="E77" s="1"/>
      <c r="F77" s="16"/>
      <c r="G77"/>
    </row>
    <row r="78" spans="1:7" ht="15.75">
      <c r="A78" s="121">
        <v>1994</v>
      </c>
      <c r="B78" s="157">
        <v>13</v>
      </c>
      <c r="C78" s="127">
        <v>3.016666666666666</v>
      </c>
      <c r="E78" s="1"/>
      <c r="F78" s="16"/>
      <c r="G78"/>
    </row>
    <row r="79" spans="1:7" ht="15.75">
      <c r="A79" s="121">
        <v>1995</v>
      </c>
      <c r="B79" s="157">
        <v>10</v>
      </c>
      <c r="C79" s="127">
        <v>3.5708333333333333</v>
      </c>
      <c r="E79" s="1"/>
      <c r="F79" s="16"/>
      <c r="G79"/>
    </row>
    <row r="80" spans="1:7" ht="15.75">
      <c r="A80" s="121">
        <v>1996</v>
      </c>
      <c r="B80" s="157">
        <v>19</v>
      </c>
      <c r="C80" s="127">
        <v>3.9142857142857146</v>
      </c>
      <c r="E80" s="1"/>
      <c r="F80" s="16"/>
      <c r="G80"/>
    </row>
    <row r="81" spans="1:7" ht="15.75">
      <c r="A81" s="121">
        <v>1997</v>
      </c>
      <c r="B81" s="157">
        <v>15</v>
      </c>
      <c r="C81" s="127">
        <v>2.411111111111111</v>
      </c>
      <c r="E81" s="1"/>
      <c r="F81" s="16"/>
      <c r="G81"/>
    </row>
    <row r="82" spans="1:7" ht="15.75">
      <c r="A82" s="121">
        <v>1998</v>
      </c>
      <c r="B82" s="158">
        <v>24</v>
      </c>
      <c r="C82" s="125">
        <v>3.8</v>
      </c>
      <c r="E82" s="1"/>
      <c r="F82" s="16"/>
      <c r="G82"/>
    </row>
    <row r="83" spans="1:7" ht="15.75">
      <c r="A83" s="166">
        <v>1999</v>
      </c>
      <c r="B83" s="167">
        <v>17</v>
      </c>
      <c r="C83" s="168">
        <v>4.7</v>
      </c>
      <c r="E83" s="1"/>
      <c r="F83" s="16"/>
      <c r="G83"/>
    </row>
    <row r="84" spans="1:7" ht="12.75">
      <c r="A84" s="9">
        <v>2000</v>
      </c>
      <c r="B84" s="9">
        <v>14</v>
      </c>
      <c r="C84" s="25">
        <v>6.24</v>
      </c>
      <c r="E84" s="1"/>
      <c r="F84" s="16"/>
      <c r="G84"/>
    </row>
    <row r="85" spans="1:7" ht="15.75">
      <c r="A85" s="166"/>
      <c r="B85" s="167"/>
      <c r="C85" s="168"/>
      <c r="E85" s="1"/>
      <c r="F85" s="16"/>
      <c r="G85"/>
    </row>
    <row r="86" spans="1:7" ht="15.75">
      <c r="A86" s="120"/>
      <c r="B86" s="128"/>
      <c r="C86" s="121"/>
      <c r="E86" s="1"/>
      <c r="F86" s="16"/>
      <c r="G86"/>
    </row>
    <row r="87" spans="1:7" ht="15.75">
      <c r="A87" s="121" t="s">
        <v>153</v>
      </c>
      <c r="B87" s="155">
        <f>AVERAGE(B66:B69,B71:B84)</f>
        <v>23.833333333333332</v>
      </c>
      <c r="C87" s="124">
        <f>AVERAGE(C66:C69,C71:C84)</f>
        <v>6.06545414462081</v>
      </c>
      <c r="E87" s="1"/>
      <c r="F87" s="16"/>
      <c r="G87"/>
    </row>
    <row r="88" spans="1:7" ht="15.75">
      <c r="A88" s="121" t="s">
        <v>154</v>
      </c>
      <c r="B88" s="155">
        <f>STDEVP(B66:B69,B71:B84)</f>
        <v>16.00086803200932</v>
      </c>
      <c r="C88" s="124">
        <f>STDEVP(C66:C69,C71:C84)</f>
        <v>3.767035447443945</v>
      </c>
      <c r="E88" s="1"/>
      <c r="F88" s="16"/>
      <c r="G88"/>
    </row>
    <row r="89" spans="1:7" ht="15.75">
      <c r="A89" s="121" t="s">
        <v>155</v>
      </c>
      <c r="B89" s="155">
        <f>MAX(B66:B69,B71:B83)</f>
        <v>77</v>
      </c>
      <c r="C89" s="124">
        <f>MAX(C66:C69,C71:C84)</f>
        <v>16</v>
      </c>
      <c r="E89" s="1"/>
      <c r="F89" s="16"/>
      <c r="G89"/>
    </row>
    <row r="90" spans="1:7" ht="15.75">
      <c r="A90" s="121" t="s">
        <v>156</v>
      </c>
      <c r="B90" s="155">
        <f>MIN(B66:B69,B71:B84)</f>
        <v>10</v>
      </c>
      <c r="C90" s="124">
        <f>MIN(C66:C69,C71:C84)</f>
        <v>2.411111111111111</v>
      </c>
      <c r="E90" s="1"/>
      <c r="F90" s="16"/>
      <c r="G90"/>
    </row>
    <row r="91" spans="1:7" ht="15.75">
      <c r="A91" s="121" t="s">
        <v>157</v>
      </c>
      <c r="B91" s="122">
        <f>COUNTA(B66:B69,B71:B84)</f>
        <v>18</v>
      </c>
      <c r="C91" s="122">
        <f>COUNTA(C66:C69,C71:C84)</f>
        <v>18</v>
      </c>
      <c r="E91" s="1"/>
      <c r="F91" s="16"/>
      <c r="G91"/>
    </row>
    <row r="92" spans="5:7" ht="12.75">
      <c r="E92" s="1"/>
      <c r="F92" s="16"/>
      <c r="G92"/>
    </row>
    <row r="93" spans="5:7" ht="12.75">
      <c r="E93" s="1"/>
      <c r="F93" s="16"/>
      <c r="G93"/>
    </row>
    <row r="94" spans="5:7" ht="12.75">
      <c r="E94" s="1"/>
      <c r="F94" s="16"/>
      <c r="G94"/>
    </row>
    <row r="95" spans="5:7" ht="12.75">
      <c r="E95" s="1"/>
      <c r="F95" s="16"/>
      <c r="G95"/>
    </row>
    <row r="96" spans="5:7" ht="12.75">
      <c r="E96" s="1"/>
      <c r="F96" s="16"/>
      <c r="G96"/>
    </row>
    <row r="234" spans="5:7" ht="12.75">
      <c r="E234"/>
      <c r="F234" s="16"/>
      <c r="G234"/>
    </row>
    <row r="235" spans="5:7" ht="12.75">
      <c r="E235"/>
      <c r="F235" s="16"/>
      <c r="G235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  <row r="374" spans="5:7" ht="12.75">
      <c r="E374"/>
      <c r="F374" s="16"/>
      <c r="G374"/>
    </row>
    <row r="375" spans="5:7" ht="12.75">
      <c r="E375"/>
      <c r="F375" s="16"/>
      <c r="G375"/>
    </row>
    <row r="376" spans="5:7" ht="12.75">
      <c r="E376"/>
      <c r="F376" s="16"/>
      <c r="G37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60">
      <selection activeCell="B114" sqref="B114"/>
    </sheetView>
  </sheetViews>
  <sheetFormatPr defaultColWidth="9.140625" defaultRowHeight="12.75"/>
  <cols>
    <col min="1" max="1" width="7.28125" style="10" customWidth="1"/>
    <col min="2" max="4" width="12.57421875" style="10" bestFit="1" customWidth="1"/>
    <col min="5" max="5" width="11.57421875" style="10" bestFit="1" customWidth="1"/>
    <col min="6" max="6" width="12.57421875" style="10" customWidth="1"/>
    <col min="7" max="7" width="11.421875" style="10" customWidth="1"/>
    <col min="8" max="16384" width="9.140625" style="10" customWidth="1"/>
  </cols>
  <sheetData>
    <row r="1" spans="1:7" ht="12.75">
      <c r="A1" s="51" t="s">
        <v>190</v>
      </c>
      <c r="B1" s="30"/>
      <c r="C1" s="30"/>
      <c r="D1" s="30"/>
      <c r="E1" s="30"/>
      <c r="F1" s="30"/>
      <c r="G1" s="30"/>
    </row>
    <row r="2" spans="1:7" ht="12.75">
      <c r="A2" s="48" t="s">
        <v>12</v>
      </c>
      <c r="B2" s="48" t="s">
        <v>112</v>
      </c>
      <c r="C2" s="48" t="s">
        <v>89</v>
      </c>
      <c r="D2" s="52" t="s">
        <v>115</v>
      </c>
      <c r="E2" s="52" t="s">
        <v>11</v>
      </c>
      <c r="F2" s="52" t="s">
        <v>116</v>
      </c>
      <c r="G2" s="98" t="s">
        <v>129</v>
      </c>
    </row>
    <row r="3" spans="1:7" ht="12.75">
      <c r="A3" s="53" t="s">
        <v>88</v>
      </c>
      <c r="B3" s="54"/>
      <c r="C3" s="54"/>
      <c r="D3" s="54"/>
      <c r="E3" s="54"/>
      <c r="F3" s="54"/>
      <c r="G3" s="30"/>
    </row>
    <row r="4" spans="1:7" ht="12.75">
      <c r="A4" s="53" t="s">
        <v>0</v>
      </c>
      <c r="B4" s="54">
        <f>(F117*'River-Res data'!V85)*2.723</f>
        <v>2128.176508752</v>
      </c>
      <c r="C4" s="54">
        <f>(G117*'River-Res data'!V111)*2.723</f>
        <v>12029.730896232</v>
      </c>
      <c r="D4" s="54">
        <f>(H117*'River-Res data'!W132)*2.723</f>
        <v>5828.4458946</v>
      </c>
      <c r="E4" s="54">
        <f>(I117*'River-Res data'!W65)*2.723</f>
        <v>328.08631884000005</v>
      </c>
      <c r="F4" s="54">
        <f aca="true" t="shared" si="0" ref="F4:F14">(B4+C4)-E4</f>
        <v>13829.821086144</v>
      </c>
      <c r="G4" s="55"/>
    </row>
    <row r="5" spans="1:7" ht="12.75">
      <c r="A5" s="53" t="s">
        <v>1</v>
      </c>
      <c r="B5" s="54">
        <f>(F118*'River-Res data'!V86)*2.723</f>
        <v>819.546233184</v>
      </c>
      <c r="C5" s="54">
        <f>(G118*'River-Res data'!V112)*2.723</f>
        <v>4502.8173351000005</v>
      </c>
      <c r="D5" s="54">
        <f>(H118*'River-Res data'!W133)*2.723</f>
        <v>3167.0373226800007</v>
      </c>
      <c r="E5" s="54">
        <f>(I118*'River-Res data'!W66)*2.723</f>
        <v>669.5639160000001</v>
      </c>
      <c r="F5" s="54">
        <f t="shared" si="0"/>
        <v>4652.799652284</v>
      </c>
      <c r="G5" s="55"/>
    </row>
    <row r="6" spans="1:7" ht="12.75">
      <c r="A6" s="53" t="s">
        <v>2</v>
      </c>
      <c r="B6" s="54">
        <f>(F119*'River-Res data'!V87)*2.723</f>
        <v>991.3865724</v>
      </c>
      <c r="C6" s="54">
        <f>(G119*'River-Res data'!V113)*2.723</f>
        <v>5628.22468488</v>
      </c>
      <c r="D6" s="54">
        <f>(H119*'River-Res data'!W134)*2.723</f>
        <v>984.9069216</v>
      </c>
      <c r="E6" s="54">
        <f>(I119*'River-Res data'!W67)*2.723</f>
        <v>842.354604</v>
      </c>
      <c r="F6" s="54">
        <f t="shared" si="0"/>
        <v>5777.256653279999</v>
      </c>
      <c r="G6" s="56"/>
    </row>
    <row r="7" spans="1:7" ht="12.75">
      <c r="A7" s="53" t="s">
        <v>3</v>
      </c>
      <c r="B7" s="54">
        <f>(F120*'River-Res data'!V88)*2.723</f>
        <v>496.816425672</v>
      </c>
      <c r="C7" s="54">
        <f>(G120*'River-Res data'!V114)*2.723</f>
        <v>3093.38529192</v>
      </c>
      <c r="D7" s="54">
        <f>(H120*'River-Res data'!W135)*2.723</f>
        <v>6982.212516048001</v>
      </c>
      <c r="E7" s="54">
        <f>(I120*'River-Res data'!W68)*2.723</f>
        <v>811.8462481500001</v>
      </c>
      <c r="F7" s="54">
        <f t="shared" si="0"/>
        <v>2778.355469442</v>
      </c>
      <c r="G7" s="56"/>
    </row>
    <row r="8" spans="1:7" ht="12.75">
      <c r="A8" s="53" t="s">
        <v>4</v>
      </c>
      <c r="B8" s="54">
        <f>(F121*'River-Res data'!V89)*2.723</f>
        <v>8339.3105796</v>
      </c>
      <c r="C8" s="54">
        <f>(G121*'River-Res data'!V115)*2.723</f>
        <v>181.4302224</v>
      </c>
      <c r="D8" s="54">
        <f>(H121*'River-Res data'!W136)*2.723</f>
        <v>3835.953273600001</v>
      </c>
      <c r="E8" s="54">
        <f>(I121*'River-Res data'!W69)*2.723</f>
        <v>2604.8196215999997</v>
      </c>
      <c r="F8" s="54">
        <f t="shared" si="0"/>
        <v>5915.921180400001</v>
      </c>
      <c r="G8" s="56"/>
    </row>
    <row r="9" spans="1:7" ht="12.75">
      <c r="A9" s="53" t="s">
        <v>5</v>
      </c>
      <c r="B9" s="54">
        <f>(F122*'River-Res data'!V90)*2.723</f>
        <v>1801.1269340400002</v>
      </c>
      <c r="C9" s="54">
        <f>(G122*'River-Res data'!V116)*2.723</f>
        <v>5.189120349</v>
      </c>
      <c r="D9" s="54">
        <f>(H122*'River-Res data'!W137)*2.723</f>
        <v>6449.239638912001</v>
      </c>
      <c r="E9" s="54">
        <f>(I122*'River-Res data'!W70)*2.723</f>
        <v>1672.23588021</v>
      </c>
      <c r="F9" s="54">
        <f t="shared" si="0"/>
        <v>134.0801741790001</v>
      </c>
      <c r="G9" s="56"/>
    </row>
    <row r="10" spans="1:7" ht="12.75">
      <c r="A10" s="53" t="s">
        <v>6</v>
      </c>
      <c r="B10" s="54">
        <f>(F123*'River-Res data'!V91)*2.723</f>
        <v>1281.545335224</v>
      </c>
      <c r="C10" s="54">
        <f>(G123*'River-Res data'!V117)*2.723</f>
        <v>3986.2487739059998</v>
      </c>
      <c r="D10" s="54">
        <f>(H123*'River-Res data'!W138)*2.723</f>
        <v>8988.895572299998</v>
      </c>
      <c r="E10" s="54">
        <f>(I123*'River-Res data'!W71)*2.723</f>
        <v>326.41240905</v>
      </c>
      <c r="F10" s="54">
        <f t="shared" si="0"/>
        <v>4941.38170008</v>
      </c>
      <c r="G10" s="56"/>
    </row>
    <row r="11" spans="1:7" ht="12.75">
      <c r="A11" s="53" t="s">
        <v>7</v>
      </c>
      <c r="B11" s="54">
        <f>(F124*'River-Res data'!V92)*2.723</f>
        <v>496.50324255000004</v>
      </c>
      <c r="C11" s="54">
        <f>(G124*'River-Res data'!V118)*2.723</f>
        <v>1733.9545540799998</v>
      </c>
      <c r="D11" s="54">
        <f>(H124*'River-Res data'!W139)*2.723</f>
        <v>13542.470171999998</v>
      </c>
      <c r="E11" s="54">
        <f>(I124*'River-Res data'!W72)*2.723</f>
        <v>89.09519850000001</v>
      </c>
      <c r="F11" s="54">
        <f t="shared" si="0"/>
        <v>2141.3625981299997</v>
      </c>
      <c r="G11" s="56"/>
    </row>
    <row r="12" spans="1:7" ht="12.75">
      <c r="A12" s="53" t="s">
        <v>8</v>
      </c>
      <c r="B12" s="54">
        <f>(F125*'River-Res data'!V93)*2.723</f>
        <v>313.0211307299999</v>
      </c>
      <c r="C12" s="54">
        <f>(G125*'River-Res data'!V119)*2.723</f>
        <v>1074.9179107464</v>
      </c>
      <c r="D12" s="54">
        <f>(H125*'River-Res data'!W140)*2.723</f>
        <v>429.86003407199996</v>
      </c>
      <c r="E12" s="54">
        <f>(I125*'River-Res data'!W73)*2.723</f>
        <v>50.2172937</v>
      </c>
      <c r="F12" s="54">
        <f t="shared" si="0"/>
        <v>1337.7217477763998</v>
      </c>
      <c r="G12" s="56"/>
    </row>
    <row r="13" spans="1:7" ht="12.75">
      <c r="A13" s="53" t="s">
        <v>9</v>
      </c>
      <c r="B13" s="54">
        <f>(F126*'River-Res data'!V94)*2.723</f>
        <v>253.35434628000004</v>
      </c>
      <c r="C13" s="54">
        <f>(G126*'River-Res data'!V120)*2.723</f>
        <v>4903.79972544</v>
      </c>
      <c r="D13" s="54">
        <f>(H126*'River-Res data'!W141)*2.723</f>
        <v>5953.1791725</v>
      </c>
      <c r="E13" s="54">
        <f>(I126*'River-Res data'!W74)*2.723</f>
        <v>161.99127</v>
      </c>
      <c r="F13" s="54">
        <f t="shared" si="0"/>
        <v>4995.16280172</v>
      </c>
      <c r="G13" s="56"/>
    </row>
    <row r="14" spans="1:7" ht="12.75">
      <c r="A14" s="53" t="s">
        <v>10</v>
      </c>
      <c r="B14" s="54">
        <f>(F127*'River-Res data'!V95)*2.723</f>
        <v>596.581449156</v>
      </c>
      <c r="C14" s="54">
        <f>(G127*'River-Res data'!V121)*2.723</f>
        <v>5666.6868120869985</v>
      </c>
      <c r="D14" s="54">
        <f>(H127*'River-Res data'!W142)*2.723</f>
        <v>563.2706443349999</v>
      </c>
      <c r="E14" s="54">
        <f>(I127*'River-Res data'!W75)*2.723</f>
        <v>552.3902307</v>
      </c>
      <c r="F14" s="54">
        <f t="shared" si="0"/>
        <v>5710.878030542998</v>
      </c>
      <c r="G14" s="56"/>
    </row>
    <row r="15" spans="1:8" ht="12.75">
      <c r="A15" s="57" t="s">
        <v>36</v>
      </c>
      <c r="B15" s="58">
        <f>SUM(B3:B14)</f>
        <v>17517.368757588003</v>
      </c>
      <c r="C15" s="58">
        <f>SUM(C3:C14)</f>
        <v>42806.3853271404</v>
      </c>
      <c r="D15" s="58">
        <f>SUM(D3:D14)</f>
        <v>56725.471162647</v>
      </c>
      <c r="E15" s="58">
        <f>SUM(E3:E14)</f>
        <v>8109.012990749999</v>
      </c>
      <c r="F15" s="58">
        <f>SUM(F3:F14)</f>
        <v>52214.74109397839</v>
      </c>
      <c r="G15" s="58">
        <f>SUM(B15:C15)</f>
        <v>60323.7540847284</v>
      </c>
      <c r="H15" s="10" t="s">
        <v>192</v>
      </c>
    </row>
    <row r="16" spans="2:8" ht="12.75">
      <c r="B16" s="49"/>
      <c r="C16" s="49"/>
      <c r="D16" s="49"/>
      <c r="E16" s="49"/>
      <c r="F16" s="49"/>
      <c r="G16" s="49"/>
      <c r="H16" s="10" t="s">
        <v>193</v>
      </c>
    </row>
    <row r="17" spans="2:7" ht="12.75">
      <c r="B17" s="49"/>
      <c r="C17" s="49"/>
      <c r="D17" s="49"/>
      <c r="E17" s="49"/>
      <c r="F17" s="49"/>
      <c r="G17" s="49"/>
    </row>
    <row r="18" spans="2:7" ht="12.75">
      <c r="B18" s="49"/>
      <c r="C18" s="49"/>
      <c r="D18" s="49"/>
      <c r="E18" s="49"/>
      <c r="F18" s="49"/>
      <c r="G18" s="49"/>
    </row>
    <row r="19" spans="2:7" ht="12.75">
      <c r="B19" s="49"/>
      <c r="C19" s="49"/>
      <c r="D19" s="49"/>
      <c r="E19" s="49"/>
      <c r="F19" s="49"/>
      <c r="G19" s="49"/>
    </row>
    <row r="20" spans="2:7" ht="12.75">
      <c r="B20" s="49"/>
      <c r="C20" s="49"/>
      <c r="D20" s="49"/>
      <c r="E20" s="49"/>
      <c r="F20" s="49"/>
      <c r="G20" s="49"/>
    </row>
    <row r="21" spans="2:7" ht="12.75">
      <c r="B21" s="49"/>
      <c r="C21" s="49"/>
      <c r="D21" s="49"/>
      <c r="E21" s="49"/>
      <c r="F21" s="49"/>
      <c r="G21" s="49"/>
    </row>
    <row r="22" spans="2:7" ht="12.75">
      <c r="B22" s="49"/>
      <c r="C22" s="49"/>
      <c r="D22" s="49"/>
      <c r="E22" s="49"/>
      <c r="F22" s="49"/>
      <c r="G22" s="49"/>
    </row>
    <row r="23" spans="2:7" ht="12.75">
      <c r="B23" s="49"/>
      <c r="C23" s="49"/>
      <c r="D23" s="49"/>
      <c r="E23" s="49"/>
      <c r="F23" s="49"/>
      <c r="G23" s="49"/>
    </row>
    <row r="24" spans="2:7" ht="12.75">
      <c r="B24" s="49"/>
      <c r="C24" s="49"/>
      <c r="D24" s="49"/>
      <c r="E24" s="49"/>
      <c r="F24" s="49"/>
      <c r="G24" s="49"/>
    </row>
    <row r="25" spans="2:7" ht="12.75">
      <c r="B25" s="49"/>
      <c r="C25" s="49"/>
      <c r="D25" s="49"/>
      <c r="E25" s="49"/>
      <c r="F25" s="49"/>
      <c r="G25" s="49"/>
    </row>
    <row r="26" spans="2:7" ht="12.75">
      <c r="B26" s="49"/>
      <c r="C26" s="49"/>
      <c r="D26" s="49"/>
      <c r="E26" s="49"/>
      <c r="F26" s="49"/>
      <c r="G26" s="49"/>
    </row>
    <row r="27" spans="2:7" ht="12.75">
      <c r="B27" s="49"/>
      <c r="C27" s="49"/>
      <c r="D27" s="49"/>
      <c r="E27" s="49"/>
      <c r="F27" s="49"/>
      <c r="G27" s="49"/>
    </row>
    <row r="28" spans="2:7" ht="12.75">
      <c r="B28" s="49"/>
      <c r="C28" s="49"/>
      <c r="D28" s="49"/>
      <c r="E28" s="49"/>
      <c r="F28" s="49"/>
      <c r="G28" s="49"/>
    </row>
    <row r="29" spans="2:7" ht="12.75">
      <c r="B29" s="49"/>
      <c r="C29" s="49"/>
      <c r="D29" s="49"/>
      <c r="E29" s="49"/>
      <c r="F29" s="49"/>
      <c r="G29" s="49"/>
    </row>
    <row r="30" spans="2:7" ht="12.75">
      <c r="B30" s="49"/>
      <c r="C30" s="49"/>
      <c r="D30" s="49"/>
      <c r="E30" s="49"/>
      <c r="F30" s="49"/>
      <c r="G30" s="49"/>
    </row>
    <row r="31" spans="2:7" ht="12.75">
      <c r="B31" s="49"/>
      <c r="C31" s="49"/>
      <c r="D31" s="49"/>
      <c r="E31" s="49"/>
      <c r="F31" s="49"/>
      <c r="G31" s="49"/>
    </row>
    <row r="32" spans="2:7" ht="12.75">
      <c r="B32" s="49"/>
      <c r="C32" s="49"/>
      <c r="D32" s="49"/>
      <c r="E32" s="49"/>
      <c r="F32" s="49"/>
      <c r="G32" s="49"/>
    </row>
    <row r="33" spans="2:7" ht="12.75">
      <c r="B33" s="49"/>
      <c r="C33" s="49"/>
      <c r="D33" s="49"/>
      <c r="E33" s="49"/>
      <c r="F33" s="49"/>
      <c r="G33" s="49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2.75">
      <c r="A37" s="30" t="s">
        <v>191</v>
      </c>
      <c r="B37" s="30"/>
      <c r="C37" s="30"/>
      <c r="D37" s="30"/>
      <c r="E37" s="30"/>
      <c r="F37" s="30"/>
      <c r="G37" s="30"/>
    </row>
    <row r="38" spans="1:7" ht="12.75">
      <c r="A38" s="48" t="s">
        <v>13</v>
      </c>
      <c r="B38" s="48" t="s">
        <v>112</v>
      </c>
      <c r="C38" s="48" t="s">
        <v>89</v>
      </c>
      <c r="D38" s="52" t="s">
        <v>115</v>
      </c>
      <c r="E38" s="52" t="s">
        <v>11</v>
      </c>
      <c r="F38" s="52" t="s">
        <v>116</v>
      </c>
      <c r="G38" s="98" t="s">
        <v>129</v>
      </c>
    </row>
    <row r="39" spans="1:7" ht="12.75">
      <c r="A39" s="53" t="s">
        <v>88</v>
      </c>
      <c r="B39" s="54"/>
      <c r="C39" s="54"/>
      <c r="D39" s="54"/>
      <c r="E39" s="54"/>
      <c r="F39" s="54"/>
      <c r="G39" s="30"/>
    </row>
    <row r="40" spans="1:7" ht="12.75">
      <c r="A40" s="53" t="s">
        <v>0</v>
      </c>
      <c r="B40" s="54">
        <f>(F117*'River-Res data'!Y85)*2.723</f>
        <v>59.116014132000004</v>
      </c>
      <c r="C40" s="54">
        <f>(G117*'River-Res data'!Y111)*2.72</f>
        <v>675.0830016000001</v>
      </c>
      <c r="D40" s="54">
        <f>(H117*'River-Res data'!Y132)*2.723</f>
        <v>194.28152982</v>
      </c>
      <c r="E40" s="54">
        <f>(I117*'River-Res data'!Y65)*2.723</f>
        <v>46.86947412</v>
      </c>
      <c r="F40" s="54">
        <f aca="true" t="shared" si="1" ref="F40:F50">(B40+C40)-E40</f>
        <v>687.3295416120002</v>
      </c>
      <c r="G40" s="30"/>
    </row>
    <row r="41" spans="1:7" ht="12.75">
      <c r="A41" s="53" t="s">
        <v>1</v>
      </c>
      <c r="B41" s="54">
        <f>(F118*'River-Res data'!Y86)*2.723</f>
        <v>68.295519432</v>
      </c>
      <c r="C41" s="54">
        <f>(G118*'River-Res data'!Y112)*2.72</f>
        <v>1079.48555136</v>
      </c>
      <c r="D41" s="54">
        <f>(H118*'River-Res data'!Y133)*2.723</f>
        <v>475.05559840200004</v>
      </c>
      <c r="E41" s="54">
        <f>(I118*'River-Res data'!Y66)*2.723</f>
        <v>133.9127832</v>
      </c>
      <c r="F41" s="54">
        <f t="shared" si="1"/>
        <v>1013.868287592</v>
      </c>
      <c r="G41" s="30"/>
    </row>
    <row r="42" spans="1:7" ht="12.75">
      <c r="A42" s="53" t="s">
        <v>2</v>
      </c>
      <c r="B42" s="54">
        <f>(F119*'River-Res data'!Y87)*2.723</f>
        <v>132.18487632</v>
      </c>
      <c r="C42" s="54">
        <f>(G119*'River-Res data'!Y113)*2.72</f>
        <v>1307.4474240000002</v>
      </c>
      <c r="D42" s="54">
        <f>(H119*'River-Res data'!Y134)*2.723</f>
        <v>590.94415296</v>
      </c>
      <c r="E42" s="54">
        <f>(I119*'River-Res data'!Y67)*2.723</f>
        <v>168.4709208</v>
      </c>
      <c r="F42" s="54">
        <f t="shared" si="1"/>
        <v>1271.1613795200003</v>
      </c>
      <c r="G42" s="30"/>
    </row>
    <row r="43" spans="1:7" ht="12.75">
      <c r="A43" s="53" t="s">
        <v>3</v>
      </c>
      <c r="B43" s="54">
        <f>(F120*'River-Res data'!Y88)*2.723</f>
        <v>354.86887547999993</v>
      </c>
      <c r="C43" s="54">
        <f>(G120*'River-Res data'!Y114)*2.72</f>
        <v>983.1745728000002</v>
      </c>
      <c r="D43" s="54">
        <f>(H120*'River-Res data'!Y135)*2.723</f>
        <v>317.37329618399997</v>
      </c>
      <c r="E43" s="54">
        <f>(I120*'River-Res data'!Y68)*2.723</f>
        <v>1298.9539970399999</v>
      </c>
      <c r="F43" s="54">
        <f t="shared" si="1"/>
        <v>39.089451240000244</v>
      </c>
      <c r="G43" s="30"/>
    </row>
    <row r="44" spans="1:7" ht="12.75">
      <c r="A44" s="53" t="s">
        <v>4</v>
      </c>
      <c r="B44" s="54">
        <f>(F121*'River-Res data'!Y89)*2.723</f>
        <v>758.1191436</v>
      </c>
      <c r="C44" s="54">
        <f>(G121*'River-Res data'!Y115)*2.72</f>
        <v>36.2460672</v>
      </c>
      <c r="D44" s="54">
        <f>(H121*'River-Res data'!Y136)*2.723</f>
        <v>767.1906547200001</v>
      </c>
      <c r="E44" s="54">
        <f>(I121*'River-Res data'!Y69)*2.723</f>
        <v>1302.4098107999998</v>
      </c>
      <c r="F44" s="54">
        <f t="shared" si="1"/>
        <v>-508.04459999999983</v>
      </c>
      <c r="G44" s="55"/>
    </row>
    <row r="45" spans="1:7" ht="12.75">
      <c r="A45" s="53" t="s">
        <v>5</v>
      </c>
      <c r="B45" s="54">
        <f>(F122*'River-Res data'!Y90)*2.723</f>
        <v>450.28173351000004</v>
      </c>
      <c r="C45" s="54">
        <f>(G122*'River-Res data'!Y116)*2.72</f>
        <v>20.733613440000003</v>
      </c>
      <c r="D45" s="54">
        <f>(H122*'River-Res data'!Y137)*2.723</f>
        <v>230.32998710400003</v>
      </c>
      <c r="E45" s="54">
        <f>(I122*'River-Res data'!Y70)*2.723</f>
        <v>309.67331114999996</v>
      </c>
      <c r="F45" s="54">
        <f t="shared" si="1"/>
        <v>161.34203580000008</v>
      </c>
      <c r="G45" s="56"/>
    </row>
    <row r="46" spans="1:7" ht="12.75">
      <c r="A46" s="53" t="s">
        <v>6</v>
      </c>
      <c r="B46" s="54">
        <f>(F123*'River-Res data'!Y91)*2.723</f>
        <v>699.0247283039998</v>
      </c>
      <c r="C46" s="54">
        <f>(G123*'River-Res data'!Y117)*2.72</f>
        <v>1200.87751392</v>
      </c>
      <c r="D46" s="54">
        <f>(H123*'River-Res data'!Y138)*2.723</f>
        <v>359.555822892</v>
      </c>
      <c r="E46" s="54">
        <f>(I123*'River-Res data'!Y71)*2.723</f>
        <v>97.923722715</v>
      </c>
      <c r="F46" s="54">
        <f t="shared" si="1"/>
        <v>1801.9785195089999</v>
      </c>
      <c r="G46" s="56"/>
    </row>
    <row r="47" spans="1:7" ht="12.75">
      <c r="A47" s="53" t="s">
        <v>7</v>
      </c>
      <c r="B47" s="54">
        <f>(F124*'River-Res data'!Y92)*2.723</f>
        <v>99.30064851</v>
      </c>
      <c r="C47" s="54">
        <f>(G124*'River-Res data'!Y118)*2.72</f>
        <v>613.4323248000001</v>
      </c>
      <c r="D47" s="54">
        <f>(H124*'River-Res data'!Y139)*2.723</f>
        <v>270.84940343999995</v>
      </c>
      <c r="E47" s="54">
        <f>(I124*'River-Res data'!Y72)*2.723</f>
        <v>44.547599250000005</v>
      </c>
      <c r="F47" s="54">
        <f t="shared" si="1"/>
        <v>668.1853740600001</v>
      </c>
      <c r="G47" s="56"/>
    </row>
    <row r="48" spans="1:7" ht="12.75">
      <c r="A48" s="53" t="s">
        <v>8</v>
      </c>
      <c r="B48" s="54">
        <f>(F125*'River-Res data'!Y93)*2.723</f>
        <v>62.604226145999995</v>
      </c>
      <c r="C48" s="54">
        <f>(G125*'River-Res data'!Y119)*2.72</f>
        <v>140.05221465600002</v>
      </c>
      <c r="D48" s="54">
        <f>(H125*'River-Res data'!Y140)*2.723</f>
        <v>171.9440136288</v>
      </c>
      <c r="E48" s="54">
        <f>(I125*'River-Res data'!Y73)*2.723</f>
        <v>30.13037621999999</v>
      </c>
      <c r="F48" s="54">
        <f t="shared" si="1"/>
        <v>172.52606458200003</v>
      </c>
      <c r="G48" s="56"/>
    </row>
    <row r="49" spans="1:7" ht="12.75">
      <c r="A49" s="53" t="s">
        <v>9</v>
      </c>
      <c r="B49" s="54">
        <f>(F126*'River-Res data'!Y94)*2.723</f>
        <v>126.67717314000002</v>
      </c>
      <c r="C49" s="54">
        <f>(G126*'River-Res data'!Y120)*2.72</f>
        <v>166.9908096</v>
      </c>
      <c r="D49" s="54">
        <f>(H126*'River-Res data'!Y141)*2.723</f>
        <v>357.19075035000003</v>
      </c>
      <c r="E49" s="54">
        <f>(I126*'River-Res data'!Y74)*2.723</f>
        <v>97.19476199999998</v>
      </c>
      <c r="F49" s="54">
        <f t="shared" si="1"/>
        <v>196.47322074000004</v>
      </c>
      <c r="G49" s="56"/>
    </row>
    <row r="50" spans="1:7" ht="12.75">
      <c r="A50" s="53" t="s">
        <v>10</v>
      </c>
      <c r="B50" s="54">
        <f>(F127*'River-Res data'!Y95)*2.723</f>
        <v>54.234677196</v>
      </c>
      <c r="C50" s="54">
        <f>(G127*'River-Res data'!Y121)*2.72</f>
        <v>291.7754472</v>
      </c>
      <c r="D50" s="54">
        <f>(H127*'River-Res data'!Y142)*2.723</f>
        <v>112.65412886699998</v>
      </c>
      <c r="E50" s="54">
        <f>(I127*'River-Res data'!Y75)*2.723</f>
        <v>331.43413842</v>
      </c>
      <c r="F50" s="54">
        <f t="shared" si="1"/>
        <v>14.57598597599997</v>
      </c>
      <c r="G50" s="56"/>
    </row>
    <row r="51" spans="1:7" ht="12.75">
      <c r="A51" s="52" t="s">
        <v>36</v>
      </c>
      <c r="B51" s="59">
        <f>SUM(B39:B50)</f>
        <v>2864.70761577</v>
      </c>
      <c r="C51" s="59">
        <f>SUM(C39:C50)</f>
        <v>6515.298540576</v>
      </c>
      <c r="D51" s="59">
        <f>SUM(D39:D50)</f>
        <v>3847.3693383678</v>
      </c>
      <c r="E51" s="59">
        <f>SUM(E39:E50)</f>
        <v>3861.520895715</v>
      </c>
      <c r="F51" s="59">
        <f>SUM(F39:F50)</f>
        <v>5518.4852606310005</v>
      </c>
      <c r="G51" s="59">
        <f>SUM(B51:C51)</f>
        <v>9380.006156346</v>
      </c>
    </row>
    <row r="52" spans="2:7" ht="12.75">
      <c r="B52" s="49"/>
      <c r="C52" s="49"/>
      <c r="D52" s="49"/>
      <c r="E52" s="49"/>
      <c r="F52" s="49"/>
      <c r="G52" s="49"/>
    </row>
    <row r="53" spans="2:7" ht="12.75">
      <c r="B53" s="49"/>
      <c r="C53" s="49"/>
      <c r="D53" s="49"/>
      <c r="E53" s="49"/>
      <c r="F53" s="49"/>
      <c r="G53" s="49"/>
    </row>
    <row r="54" spans="2:7" ht="12.75">
      <c r="B54" s="49"/>
      <c r="C54" s="49"/>
      <c r="D54" s="49"/>
      <c r="E54" s="49"/>
      <c r="F54" s="49"/>
      <c r="G54" s="49"/>
    </row>
    <row r="55" spans="2:7" ht="12.75">
      <c r="B55" s="49"/>
      <c r="C55" s="49"/>
      <c r="D55" s="49"/>
      <c r="E55" s="49"/>
      <c r="F55" s="49"/>
      <c r="G55" s="49"/>
    </row>
    <row r="56" spans="2:7" ht="12.75">
      <c r="B56" s="49"/>
      <c r="C56" s="49"/>
      <c r="D56" s="49"/>
      <c r="E56" s="49"/>
      <c r="F56" s="49"/>
      <c r="G56" s="49"/>
    </row>
    <row r="57" spans="2:7" ht="12.75">
      <c r="B57" s="49"/>
      <c r="C57" s="49"/>
      <c r="D57" s="49"/>
      <c r="E57" s="49"/>
      <c r="F57" s="49"/>
      <c r="G57" s="49"/>
    </row>
    <row r="58" spans="2:7" ht="12.75">
      <c r="B58" s="49"/>
      <c r="C58" s="49"/>
      <c r="D58" s="49"/>
      <c r="E58" s="49"/>
      <c r="F58" s="49"/>
      <c r="G58" s="49"/>
    </row>
    <row r="59" spans="2:7" ht="12.75">
      <c r="B59" s="49"/>
      <c r="C59" s="49"/>
      <c r="D59" s="49"/>
      <c r="E59" s="49"/>
      <c r="F59" s="49"/>
      <c r="G59" s="49"/>
    </row>
    <row r="60" spans="2:7" ht="12" customHeight="1">
      <c r="B60" s="49"/>
      <c r="C60" s="49"/>
      <c r="D60" s="49"/>
      <c r="E60" s="49"/>
      <c r="F60" s="49"/>
      <c r="G60" s="49"/>
    </row>
    <row r="61" spans="2:7" ht="12.75">
      <c r="B61" s="49"/>
      <c r="C61" s="49"/>
      <c r="D61" s="49"/>
      <c r="E61" s="49"/>
      <c r="F61" s="49"/>
      <c r="G61" s="49"/>
    </row>
    <row r="62" spans="2:7" ht="12.75">
      <c r="B62" s="49"/>
      <c r="C62" s="49"/>
      <c r="D62" s="49"/>
      <c r="E62" s="49"/>
      <c r="F62" s="49"/>
      <c r="G62" s="49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  <row r="68" spans="2:7" ht="12.75">
      <c r="B68" s="49"/>
      <c r="C68" s="49"/>
      <c r="D68" s="49"/>
      <c r="E68" s="49"/>
      <c r="F68" s="49"/>
      <c r="G68" s="49"/>
    </row>
    <row r="69" spans="2:7" ht="12.75">
      <c r="B69" s="49"/>
      <c r="C69" s="49"/>
      <c r="D69" s="49"/>
      <c r="E69" s="49"/>
      <c r="F69" s="49"/>
      <c r="G69" s="49"/>
    </row>
    <row r="70" spans="2:7" ht="12" customHeight="1">
      <c r="B70" s="49"/>
      <c r="C70" s="49"/>
      <c r="D70" s="49"/>
      <c r="E70" s="49"/>
      <c r="F70" s="49"/>
      <c r="G70" s="49"/>
    </row>
    <row r="71" spans="2:7" ht="12" customHeight="1">
      <c r="B71" s="49"/>
      <c r="C71" s="49"/>
      <c r="D71" s="49"/>
      <c r="E71" s="49"/>
      <c r="F71" s="49"/>
      <c r="G71" s="49"/>
    </row>
    <row r="72" spans="2:7" ht="12.75">
      <c r="B72" s="49"/>
      <c r="C72" s="49"/>
      <c r="D72" s="49"/>
      <c r="E72" s="49"/>
      <c r="F72" s="49"/>
      <c r="G72" s="49"/>
    </row>
    <row r="73" spans="2:7" ht="12.75">
      <c r="B73" s="49"/>
      <c r="C73" s="49"/>
      <c r="D73" s="49"/>
      <c r="E73" s="49"/>
      <c r="F73" s="49"/>
      <c r="G73" s="49"/>
    </row>
    <row r="74" spans="1:7" ht="12.75">
      <c r="A74" s="180" t="s">
        <v>136</v>
      </c>
      <c r="B74" s="180" t="s">
        <v>112</v>
      </c>
      <c r="C74" s="180" t="s">
        <v>89</v>
      </c>
      <c r="D74" s="180" t="s">
        <v>115</v>
      </c>
      <c r="E74" s="180" t="s">
        <v>11</v>
      </c>
      <c r="F74" s="180" t="s">
        <v>116</v>
      </c>
      <c r="G74" s="182" t="s">
        <v>194</v>
      </c>
    </row>
    <row r="75" spans="1:7" ht="12.75">
      <c r="A75" s="180"/>
      <c r="B75" s="183" t="s">
        <v>195</v>
      </c>
      <c r="C75" s="183" t="s">
        <v>195</v>
      </c>
      <c r="D75" s="183" t="s">
        <v>195</v>
      </c>
      <c r="E75" s="183" t="s">
        <v>195</v>
      </c>
      <c r="F75" s="183" t="s">
        <v>195</v>
      </c>
      <c r="G75" s="182" t="s">
        <v>129</v>
      </c>
    </row>
    <row r="76" spans="1:7" ht="12.75">
      <c r="A76" s="180" t="s">
        <v>88</v>
      </c>
      <c r="B76" s="54"/>
      <c r="C76" s="54"/>
      <c r="D76" s="54"/>
      <c r="E76" s="54"/>
      <c r="F76" s="54"/>
      <c r="G76" s="56"/>
    </row>
    <row r="77" spans="1:7" ht="12.75">
      <c r="A77" s="180" t="s">
        <v>0</v>
      </c>
      <c r="B77" s="28">
        <f>(F117*'River-Res data'!Z85)*2.72</f>
        <v>14762.721120000002</v>
      </c>
      <c r="C77" s="28">
        <f>(G117*'River-Res data'!Z111)*2.72</f>
        <v>540066.4012800001</v>
      </c>
      <c r="D77" s="28">
        <f>(H117*'River-Res data'!Z132)*2.723</f>
        <v>48570.382455000006</v>
      </c>
      <c r="E77" s="28">
        <f>(I117*'River-Res data'!Z65)*2.723</f>
        <v>11717.368530000002</v>
      </c>
      <c r="F77" s="28">
        <f aca="true" t="shared" si="2" ref="F77:F87">(B77+C77)-E77</f>
        <v>543111.7538700001</v>
      </c>
      <c r="G77" s="56"/>
    </row>
    <row r="78" spans="1:7" ht="12.75">
      <c r="A78" s="180" t="s">
        <v>1</v>
      </c>
      <c r="B78" s="28">
        <f>(F118*'River-Res data'!Z86)*2.72</f>
        <v>17055.069120000004</v>
      </c>
      <c r="C78" s="28">
        <f>(G118*'River-Res data'!Z112)*2.72</f>
        <v>1187434.106496</v>
      </c>
      <c r="D78" s="28">
        <f>(H118*'River-Res data'!Z133)*2.723</f>
        <v>39587.96653350001</v>
      </c>
      <c r="E78" s="28">
        <f>(I118*'River-Res data'!Z66)*2.723</f>
        <v>33478.1958</v>
      </c>
      <c r="F78" s="28">
        <f t="shared" si="2"/>
        <v>1171010.979816</v>
      </c>
      <c r="G78" s="56"/>
    </row>
    <row r="79" spans="1:7" ht="12.75">
      <c r="A79" s="180" t="s">
        <v>2</v>
      </c>
      <c r="B79" s="28">
        <f>(F119*'River-Res data'!Z87)*2.72</f>
        <v>79223.54688000001</v>
      </c>
      <c r="C79" s="28">
        <f>(G119*'River-Res data'!Z113)*2.72</f>
        <v>1621234.8057600004</v>
      </c>
      <c r="D79" s="28">
        <f>(H119*'River-Res data'!Z134)*2.723</f>
        <v>177283.245888</v>
      </c>
      <c r="E79" s="28">
        <f>(I119*'River-Res data'!Z67)*2.723</f>
        <v>101082.55248</v>
      </c>
      <c r="F79" s="28">
        <f t="shared" si="2"/>
        <v>1599375.8001600003</v>
      </c>
      <c r="G79" s="30"/>
    </row>
    <row r="80" spans="1:7" ht="12.75">
      <c r="A80" s="180" t="s">
        <v>3</v>
      </c>
      <c r="B80" s="28">
        <f>(F120*'River-Res data'!Z88)*2.72</f>
        <v>17723.895360000002</v>
      </c>
      <c r="C80" s="28">
        <f>(G120*'River-Res data'!Z114)*2.72</f>
        <v>1573079.31648</v>
      </c>
      <c r="D80" s="28">
        <f>(H120*'River-Res data'!Z135)*2.723</f>
        <v>338531.5159296</v>
      </c>
      <c r="E80" s="28">
        <f>(I120*'River-Res data'!Z68)*2.723</f>
        <v>40592.3124075</v>
      </c>
      <c r="F80" s="28">
        <f t="shared" si="2"/>
        <v>1550210.8994325</v>
      </c>
      <c r="G80" s="160"/>
    </row>
    <row r="81" spans="1:7" ht="12.75">
      <c r="A81" s="180" t="s">
        <v>4</v>
      </c>
      <c r="B81" s="28">
        <f>(F121*'River-Res data'!Z89)*2.72</f>
        <v>189320.97600000002</v>
      </c>
      <c r="C81" s="28">
        <f>(G121*'River-Res data'!Z115)*2.72</f>
        <v>50744.49408</v>
      </c>
      <c r="D81" s="28">
        <f>(H121*'River-Res data'!Z136)*2.723</f>
        <v>690471.5892480001</v>
      </c>
      <c r="E81" s="28">
        <f>(I121*'River-Res data'!Z69)*2.723</f>
        <v>325602.45269999997</v>
      </c>
      <c r="F81" s="28">
        <f t="shared" si="2"/>
        <v>-85536.98261999994</v>
      </c>
      <c r="G81" s="30"/>
    </row>
    <row r="82" spans="1:7" ht="12.75">
      <c r="A82" s="180" t="s">
        <v>5</v>
      </c>
      <c r="B82" s="28">
        <f>(F122*'River-Res data'!Z90)*2.72</f>
        <v>56223.2058</v>
      </c>
      <c r="C82" s="28">
        <f>(G122*'River-Res data'!Z116)*2.72</f>
        <v>38357.184864</v>
      </c>
      <c r="D82" s="28">
        <f>(H122*'River-Res data'!Z137)*2.723</f>
        <v>57582.49677600001</v>
      </c>
      <c r="E82" s="28">
        <f>(I122*'River-Res data'!Z70)*2.723</f>
        <v>189520.0664238</v>
      </c>
      <c r="F82" s="28">
        <f t="shared" si="2"/>
        <v>-94939.67575979998</v>
      </c>
      <c r="G82" s="30"/>
    </row>
    <row r="83" spans="1:7" ht="12.75">
      <c r="A83" s="180" t="s">
        <v>6</v>
      </c>
      <c r="B83" s="28">
        <f>(F123*'River-Res data'!Z91)*2.72</f>
        <v>139650.918912</v>
      </c>
      <c r="C83" s="28">
        <f>(G123*'River-Res data'!Z117)*2.72</f>
        <v>821653.03584</v>
      </c>
      <c r="D83" s="28">
        <f>(H123*'River-Res data'!Z138)*2.723</f>
        <v>89888.95572299999</v>
      </c>
      <c r="E83" s="28">
        <f>(I123*'River-Res data'!Z71)*2.723</f>
        <v>78338.978172</v>
      </c>
      <c r="F83" s="28">
        <f t="shared" si="2"/>
        <v>882964.97658</v>
      </c>
      <c r="G83" s="160"/>
    </row>
    <row r="84" spans="1:7" ht="12.75">
      <c r="A84" s="180" t="s">
        <v>7</v>
      </c>
      <c r="B84" s="28">
        <f>(F124*'River-Res data'!Z92)*2.72</f>
        <v>79352.99712000001</v>
      </c>
      <c r="C84" s="28">
        <f>(G124*'River-Res data'!Z118)*2.72</f>
        <v>234547.6536</v>
      </c>
      <c r="D84" s="28">
        <f>(H124*'River-Res data'!Z139)*2.723</f>
        <v>108339.76137599998</v>
      </c>
      <c r="E84" s="28">
        <f>(I124*'River-Res data'!Z72)*2.723</f>
        <v>21382.84764</v>
      </c>
      <c r="F84" s="28">
        <f t="shared" si="2"/>
        <v>292517.80308000004</v>
      </c>
      <c r="G84" s="30"/>
    </row>
    <row r="85" spans="1:7" ht="12.75">
      <c r="A85" s="180" t="s">
        <v>8</v>
      </c>
      <c r="B85" s="28">
        <f>(F125*'River-Res data'!Z93)*2.72</f>
        <v>15633.813359999998</v>
      </c>
      <c r="C85" s="28">
        <f>(G125*'River-Res data'!Z119)*2.72</f>
        <v>84031.32879360001</v>
      </c>
      <c r="D85" s="28">
        <f>(H125*'River-Res data'!Z140)*2.723</f>
        <v>232124.41839888</v>
      </c>
      <c r="E85" s="28">
        <f>(I125*'River-Res data'!Z73)*2.723</f>
        <v>8034.766991999999</v>
      </c>
      <c r="F85" s="28">
        <f t="shared" si="2"/>
        <v>91630.37516160001</v>
      </c>
      <c r="G85" s="55"/>
    </row>
    <row r="86" spans="1:7" ht="12.75">
      <c r="A86" s="180" t="s">
        <v>9</v>
      </c>
      <c r="B86" s="28">
        <f>(F126*'River-Res data'!Z94)*2.72</f>
        <v>15817.201200000003</v>
      </c>
      <c r="C86" s="28">
        <f>(G126*'River-Res data'!Z120)*2.72</f>
        <v>33398.16192</v>
      </c>
      <c r="D86" s="28">
        <f>(H126*'River-Res data'!Z141)*2.723</f>
        <v>190501.73352</v>
      </c>
      <c r="E86" s="28">
        <f>(I126*'River-Res data'!Z74)*2.723</f>
        <v>8099.563499999999</v>
      </c>
      <c r="F86" s="28">
        <f t="shared" si="2"/>
        <v>41115.799620000005</v>
      </c>
      <c r="G86" s="56"/>
    </row>
    <row r="87" spans="1:7" ht="12.75">
      <c r="A87" s="180" t="s">
        <v>10</v>
      </c>
      <c r="B87" s="28">
        <f>(F127*'River-Res data'!Z95)*2.72</f>
        <v>13543.731360000002</v>
      </c>
      <c r="C87" s="28">
        <f>(G127*'River-Res data'!Z121)*2.72</f>
        <v>128381.196768</v>
      </c>
      <c r="D87" s="28">
        <f>(H127*'River-Res data'!Z142)*2.723</f>
        <v>28163.532216749998</v>
      </c>
      <c r="E87" s="28">
        <f>(I127*'River-Res data'!Z75)*2.723</f>
        <v>66286.827684</v>
      </c>
      <c r="F87" s="28">
        <f t="shared" si="2"/>
        <v>75638.100444</v>
      </c>
      <c r="G87" s="56"/>
    </row>
    <row r="88" spans="1:7" ht="12.75">
      <c r="A88" s="181" t="s">
        <v>194</v>
      </c>
      <c r="B88" s="177">
        <f>SUM(B76:B87)</f>
        <v>638308.0762320001</v>
      </c>
      <c r="C88" s="177">
        <f>SUM(C76:C87)</f>
        <v>6312927.685881601</v>
      </c>
      <c r="D88" s="177">
        <f>SUM(D76:D87)</f>
        <v>2001045.5980647302</v>
      </c>
      <c r="E88" s="177">
        <f>SUM(E76:E87)</f>
        <v>884135.9323293001</v>
      </c>
      <c r="F88" s="177">
        <f>SUM(F76:F87)</f>
        <v>6067099.8297843</v>
      </c>
      <c r="G88" s="95">
        <f>SUM(B88:C88)</f>
        <v>6951235.762113601</v>
      </c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3:7" ht="12.75">
      <c r="C96" s="4"/>
      <c r="E96" s="4"/>
      <c r="G96" s="4"/>
    </row>
    <row r="97" spans="2:7" ht="12.75">
      <c r="B97" s="4"/>
      <c r="C97" s="4"/>
      <c r="D97" s="4"/>
      <c r="E97" s="4"/>
      <c r="F97" s="4"/>
      <c r="G97" s="4"/>
    </row>
    <row r="98" spans="3:7" ht="12.75">
      <c r="C98" s="4"/>
      <c r="E98" s="4"/>
      <c r="F98" s="13"/>
      <c r="G98" s="4"/>
    </row>
    <row r="99" spans="2:3" ht="12.75">
      <c r="B99" s="14"/>
      <c r="C99" s="14"/>
    </row>
    <row r="100" spans="1:10" ht="12.75">
      <c r="A100" s="8"/>
      <c r="B100" s="8"/>
      <c r="C100" s="8"/>
      <c r="D100" s="8"/>
      <c r="E100" s="8"/>
      <c r="F100" s="9"/>
      <c r="G100" s="9"/>
      <c r="J100"/>
    </row>
    <row r="101" ht="12.75">
      <c r="J101"/>
    </row>
    <row r="102" ht="12.75">
      <c r="J102"/>
    </row>
    <row r="103" spans="2:10" ht="12.75">
      <c r="B103" s="25"/>
      <c r="C103" s="25"/>
      <c r="D103" s="25"/>
      <c r="J103"/>
    </row>
    <row r="104" spans="2:10" ht="12.75">
      <c r="B104" s="25"/>
      <c r="C104" s="25"/>
      <c r="D104" s="25"/>
      <c r="E104" s="2"/>
      <c r="F104" s="2"/>
      <c r="G104" s="2"/>
      <c r="J104"/>
    </row>
    <row r="105" spans="2:10" ht="12.75">
      <c r="B105" s="25"/>
      <c r="C105" s="25"/>
      <c r="D105" s="25"/>
      <c r="E105" s="2"/>
      <c r="F105" s="2"/>
      <c r="G105" s="2"/>
      <c r="J105"/>
    </row>
    <row r="106" spans="2:10" ht="12.75">
      <c r="B106" s="25"/>
      <c r="C106" s="25"/>
      <c r="D106" s="25"/>
      <c r="E106" s="4"/>
      <c r="F106" s="4"/>
      <c r="G106" s="4"/>
      <c r="J106"/>
    </row>
    <row r="107" spans="2:10" ht="12.75">
      <c r="B107" s="25"/>
      <c r="C107" s="25"/>
      <c r="D107" s="25"/>
      <c r="E107" s="4"/>
      <c r="F107" s="4"/>
      <c r="G107" s="4"/>
      <c r="J107"/>
    </row>
    <row r="108" spans="2:10" ht="12.75">
      <c r="B108" s="25"/>
      <c r="C108" s="25"/>
      <c r="D108" s="25"/>
      <c r="E108" s="4"/>
      <c r="F108" s="4"/>
      <c r="G108" s="4"/>
      <c r="J108"/>
    </row>
    <row r="109" spans="2:10" ht="12.75">
      <c r="B109" s="25"/>
      <c r="C109" s="25"/>
      <c r="D109" s="25"/>
      <c r="E109" s="4"/>
      <c r="F109" s="4"/>
      <c r="G109" s="4"/>
      <c r="J109"/>
    </row>
    <row r="110" spans="2:10" ht="12.75">
      <c r="B110" s="25"/>
      <c r="C110" s="25"/>
      <c r="D110" s="25"/>
      <c r="E110" s="4"/>
      <c r="F110" s="4"/>
      <c r="G110" s="4"/>
      <c r="J110"/>
    </row>
    <row r="111" spans="2:10" ht="12.75">
      <c r="B111" s="25"/>
      <c r="C111" s="25"/>
      <c r="D111" s="25"/>
      <c r="E111" s="188" t="s">
        <v>189</v>
      </c>
      <c r="F111" s="188"/>
      <c r="G111" s="188"/>
      <c r="H111" s="188"/>
      <c r="I111" s="188"/>
      <c r="J111" s="188"/>
    </row>
    <row r="112" spans="2:10" ht="12.75">
      <c r="B112" s="25"/>
      <c r="C112" s="25"/>
      <c r="D112" s="25"/>
      <c r="E112" s="4"/>
      <c r="F112" s="4"/>
      <c r="G112" s="4"/>
      <c r="J112"/>
    </row>
    <row r="113" spans="2:10" ht="12.75" customHeight="1">
      <c r="B113" s="25"/>
      <c r="C113" s="25"/>
      <c r="D113" s="25"/>
      <c r="E113" s="196">
        <v>1999</v>
      </c>
      <c r="F113" s="199" t="s">
        <v>97</v>
      </c>
      <c r="G113" s="199" t="s">
        <v>98</v>
      </c>
      <c r="H113" s="199" t="s">
        <v>99</v>
      </c>
      <c r="I113" s="201" t="s">
        <v>101</v>
      </c>
      <c r="J113" s="203" t="s">
        <v>102</v>
      </c>
    </row>
    <row r="114" spans="2:10" ht="12.75" customHeight="1">
      <c r="B114" s="25"/>
      <c r="C114" s="25"/>
      <c r="D114" s="25"/>
      <c r="E114" s="197"/>
      <c r="F114" s="200"/>
      <c r="G114" s="200"/>
      <c r="H114" s="200"/>
      <c r="I114" s="202"/>
      <c r="J114" s="204"/>
    </row>
    <row r="115" spans="2:10" ht="12.75">
      <c r="B115" s="9"/>
      <c r="C115" s="9"/>
      <c r="D115" s="9"/>
      <c r="E115" s="198"/>
      <c r="F115" s="205" t="s">
        <v>96</v>
      </c>
      <c r="G115" s="206"/>
      <c r="H115" s="206"/>
      <c r="I115" s="206"/>
      <c r="J115" s="207"/>
    </row>
    <row r="116" spans="2:10" ht="12.75">
      <c r="B116" s="25"/>
      <c r="C116" s="25"/>
      <c r="D116" s="25"/>
      <c r="E116" s="29" t="s">
        <v>88</v>
      </c>
      <c r="F116" s="27">
        <v>3688</v>
      </c>
      <c r="G116" s="27">
        <v>6749.7354000000005</v>
      </c>
      <c r="H116" s="27">
        <v>10438</v>
      </c>
      <c r="I116" s="28">
        <v>3564.6408</v>
      </c>
      <c r="J116" s="32">
        <v>6873</v>
      </c>
    </row>
    <row r="117" spans="2:10" ht="12.75">
      <c r="B117" s="25"/>
      <c r="C117" s="25"/>
      <c r="D117" s="25"/>
      <c r="E117" s="29" t="s">
        <v>0</v>
      </c>
      <c r="F117" s="27">
        <v>2170.9884</v>
      </c>
      <c r="G117" s="27">
        <v>4963.845600000001</v>
      </c>
      <c r="H117" s="27">
        <v>7134.834000000001</v>
      </c>
      <c r="I117" s="28">
        <v>1721.2440000000001</v>
      </c>
      <c r="J117" s="32">
        <v>5413.59</v>
      </c>
    </row>
    <row r="118" spans="2:10" ht="12.75">
      <c r="B118" s="25"/>
      <c r="C118" s="25"/>
      <c r="D118" s="25"/>
      <c r="E118" s="29" t="s">
        <v>1</v>
      </c>
      <c r="F118" s="27">
        <v>2508.0984000000003</v>
      </c>
      <c r="G118" s="27">
        <v>3307.2474</v>
      </c>
      <c r="H118" s="27">
        <v>5815.345800000001</v>
      </c>
      <c r="I118" s="28">
        <v>4917.84</v>
      </c>
      <c r="J118" s="32">
        <v>897.5058000000008</v>
      </c>
    </row>
    <row r="119" spans="2:10" ht="12.75">
      <c r="B119" s="25"/>
      <c r="C119" s="25"/>
      <c r="D119" s="25"/>
      <c r="E119" s="29" t="s">
        <v>2</v>
      </c>
      <c r="F119" s="27">
        <v>2427.192</v>
      </c>
      <c r="G119" s="27">
        <v>4806.792</v>
      </c>
      <c r="H119" s="27">
        <v>7233.984</v>
      </c>
      <c r="I119" s="28">
        <v>6186.96</v>
      </c>
      <c r="J119" s="32">
        <v>1047.0240000000003</v>
      </c>
    </row>
    <row r="120" spans="2:10" ht="12.75">
      <c r="B120" s="25"/>
      <c r="C120" s="25"/>
      <c r="D120" s="25"/>
      <c r="E120" s="29" t="s">
        <v>3</v>
      </c>
      <c r="F120" s="27">
        <v>2606.4552</v>
      </c>
      <c r="G120" s="27">
        <v>5163.732</v>
      </c>
      <c r="H120" s="27">
        <v>7770.1872</v>
      </c>
      <c r="I120" s="28">
        <v>5962.881</v>
      </c>
      <c r="J120" s="32">
        <v>1807.3062</v>
      </c>
    </row>
    <row r="121" spans="2:10" ht="12.75">
      <c r="B121" s="25"/>
      <c r="C121" s="25"/>
      <c r="D121" s="25"/>
      <c r="E121" s="29" t="s">
        <v>4</v>
      </c>
      <c r="F121" s="27">
        <v>27841.32</v>
      </c>
      <c r="G121" s="27">
        <v>333.14399999999995</v>
      </c>
      <c r="H121" s="27">
        <v>28174.464000000004</v>
      </c>
      <c r="I121" s="28">
        <v>11957.49</v>
      </c>
      <c r="J121" s="32">
        <v>16216.974000000002</v>
      </c>
    </row>
    <row r="122" spans="2:10" ht="12.75">
      <c r="B122" s="25"/>
      <c r="C122" s="25"/>
      <c r="D122" s="25"/>
      <c r="E122" s="29" t="s">
        <v>5</v>
      </c>
      <c r="F122" s="27">
        <v>8268.1185</v>
      </c>
      <c r="G122" s="27">
        <v>190.5663</v>
      </c>
      <c r="H122" s="27">
        <v>8458.6848</v>
      </c>
      <c r="I122" s="28">
        <v>6823.503</v>
      </c>
      <c r="J122" s="32">
        <v>1635.1818000000012</v>
      </c>
    </row>
    <row r="123" spans="2:10" ht="12.75">
      <c r="B123" s="25"/>
      <c r="C123" s="25"/>
      <c r="D123" s="25"/>
      <c r="E123" s="29" t="s">
        <v>6</v>
      </c>
      <c r="F123" s="27">
        <v>4278.520799999999</v>
      </c>
      <c r="G123" s="27">
        <v>2323.6794</v>
      </c>
      <c r="H123" s="27">
        <v>6602.200199999999</v>
      </c>
      <c r="I123" s="28">
        <v>2397.447</v>
      </c>
      <c r="J123" s="32">
        <v>4204.753199999999</v>
      </c>
    </row>
    <row r="124" spans="2:10" ht="12.75">
      <c r="B124" s="25"/>
      <c r="C124" s="25"/>
      <c r="D124" s="25"/>
      <c r="E124" s="29" t="s">
        <v>7</v>
      </c>
      <c r="F124" s="27">
        <v>3646.737</v>
      </c>
      <c r="G124" s="27">
        <v>1326.627</v>
      </c>
      <c r="H124" s="27">
        <v>4973.364</v>
      </c>
      <c r="I124" s="28">
        <v>654.39</v>
      </c>
      <c r="J124" s="32">
        <v>4318.973999999999</v>
      </c>
    </row>
    <row r="125" spans="2:10" ht="12.75">
      <c r="B125" s="25"/>
      <c r="C125" s="25"/>
      <c r="D125" s="25"/>
      <c r="E125" s="29" t="s">
        <v>8</v>
      </c>
      <c r="F125" s="27">
        <v>2299.0901999999996</v>
      </c>
      <c r="G125" s="27">
        <v>858.16308</v>
      </c>
      <c r="H125" s="27">
        <v>3157.25328</v>
      </c>
      <c r="I125" s="28">
        <v>368.83799999999997</v>
      </c>
      <c r="J125" s="32">
        <v>2788.41528</v>
      </c>
    </row>
    <row r="126" spans="2:10" ht="12.75">
      <c r="B126" s="25"/>
      <c r="C126" s="25"/>
      <c r="D126" s="25"/>
      <c r="E126" s="29" t="s">
        <v>9</v>
      </c>
      <c r="F126" s="27">
        <v>2326.059</v>
      </c>
      <c r="G126" s="27">
        <v>2046.456</v>
      </c>
      <c r="H126" s="27">
        <v>4372.515</v>
      </c>
      <c r="I126" s="28">
        <v>1189.8</v>
      </c>
      <c r="J126" s="32">
        <v>3182.715</v>
      </c>
    </row>
    <row r="127" spans="2:10" ht="12.75">
      <c r="B127" s="25"/>
      <c r="C127" s="25"/>
      <c r="D127" s="25"/>
      <c r="E127" s="29" t="s">
        <v>10</v>
      </c>
      <c r="F127" s="27">
        <v>1991.7252</v>
      </c>
      <c r="G127" s="27">
        <v>2145.4076999999997</v>
      </c>
      <c r="H127" s="27">
        <v>4137.1329</v>
      </c>
      <c r="I127" s="28">
        <v>4057.2180000000003</v>
      </c>
      <c r="J127" s="32">
        <v>79.9148999999993</v>
      </c>
    </row>
    <row r="128" spans="2:10" ht="12.75">
      <c r="B128" s="26"/>
      <c r="C128" s="26"/>
      <c r="D128" s="26"/>
      <c r="E128" s="31" t="s">
        <v>100</v>
      </c>
      <c r="F128" s="28">
        <f>SUM(F116:F127)</f>
        <v>64052.3047</v>
      </c>
      <c r="G128" s="28">
        <f>SUM(G116:G127)</f>
        <v>34215.39588</v>
      </c>
      <c r="H128" s="28">
        <f>SUM(H116:H127)</f>
        <v>98267.96518000001</v>
      </c>
      <c r="I128" s="28">
        <f>SUM(I116:I127)</f>
        <v>49802.251800000005</v>
      </c>
      <c r="J128" s="32">
        <f>H128-I128</f>
        <v>48465.71338000001</v>
      </c>
    </row>
    <row r="129" spans="2:10" ht="12.75">
      <c r="B129" s="4"/>
      <c r="C129" s="4"/>
      <c r="D129" s="4"/>
      <c r="E129" s="30" t="s">
        <v>103</v>
      </c>
      <c r="F129" s="33">
        <f>F128/H128</f>
        <v>0.6518126693950944</v>
      </c>
      <c r="G129" s="33">
        <f>G128/H128</f>
        <v>0.3481846379674877</v>
      </c>
      <c r="H129" s="4"/>
      <c r="I129" s="4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8"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B41">
      <selection activeCell="I41" sqref="I41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22</v>
      </c>
      <c r="C1">
        <v>21</v>
      </c>
    </row>
    <row r="2" spans="1:11" ht="12.75">
      <c r="A2" t="s">
        <v>20</v>
      </c>
      <c r="B2" s="1" t="s">
        <v>22</v>
      </c>
      <c r="C2">
        <v>8</v>
      </c>
      <c r="K2" s="5"/>
    </row>
    <row r="3" spans="1:13" ht="12.75">
      <c r="A3" t="s">
        <v>21</v>
      </c>
      <c r="B3" s="1" t="s">
        <v>23</v>
      </c>
      <c r="C3">
        <v>2.4</v>
      </c>
      <c r="K3" s="208"/>
      <c r="L3" s="208"/>
      <c r="M3" s="208"/>
    </row>
    <row r="5" ht="12.75">
      <c r="A5" t="s">
        <v>25</v>
      </c>
    </row>
    <row r="6" spans="1:2" ht="12.75">
      <c r="A6" t="s">
        <v>26</v>
      </c>
      <c r="B6">
        <f>+LN(C3)</f>
        <v>0.8754687373538999</v>
      </c>
    </row>
    <row r="7" spans="2:3" ht="12.75">
      <c r="B7">
        <f>20+(14.42*B6)</f>
        <v>32.62425919264324</v>
      </c>
      <c r="C7" t="s">
        <v>29</v>
      </c>
    </row>
    <row r="8" spans="1:2" ht="12.75">
      <c r="A8" t="s">
        <v>27</v>
      </c>
      <c r="B8">
        <f>+LN(C2)</f>
        <v>2.0794415416798357</v>
      </c>
    </row>
    <row r="9" spans="2:3" ht="12.75">
      <c r="B9">
        <f>+(9.81*B8)+30.6</f>
        <v>50.99932152387919</v>
      </c>
      <c r="C9" t="s">
        <v>29</v>
      </c>
    </row>
    <row r="10" spans="1:2" ht="12.75">
      <c r="A10" t="s">
        <v>28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29</v>
      </c>
    </row>
    <row r="13" ht="12.75">
      <c r="A13" t="s">
        <v>30</v>
      </c>
    </row>
    <row r="14" spans="1:2" ht="12.75">
      <c r="A14" t="s">
        <v>31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29</v>
      </c>
    </row>
    <row r="16" spans="1:2" ht="12.75">
      <c r="A16" t="s">
        <v>32</v>
      </c>
      <c r="B16">
        <f>+LN(C1)</f>
        <v>3.044522437723423</v>
      </c>
    </row>
    <row r="17" spans="2:3" ht="12.75">
      <c r="B17">
        <f>20.02*B16</f>
        <v>60.95133920322293</v>
      </c>
      <c r="C17" t="s">
        <v>34</v>
      </c>
    </row>
    <row r="18" spans="1:2" ht="12.75">
      <c r="A18" t="s">
        <v>33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34</v>
      </c>
    </row>
    <row r="22" spans="1:7" ht="12.75">
      <c r="A22" t="s">
        <v>185</v>
      </c>
      <c r="B22" t="s">
        <v>117</v>
      </c>
      <c r="C22" s="209" t="s">
        <v>122</v>
      </c>
      <c r="D22" s="209"/>
      <c r="E22" s="209"/>
      <c r="F22" s="209"/>
      <c r="G22" t="s">
        <v>127</v>
      </c>
    </row>
    <row r="23" spans="2:7" ht="12.75">
      <c r="B23" t="s">
        <v>118</v>
      </c>
      <c r="C23" t="s">
        <v>119</v>
      </c>
      <c r="D23" t="s">
        <v>120</v>
      </c>
      <c r="E23" t="s">
        <v>121</v>
      </c>
      <c r="G23" s="50">
        <v>18880</v>
      </c>
    </row>
    <row r="24" spans="2:7" ht="12.75">
      <c r="B24">
        <v>50000</v>
      </c>
      <c r="C24" s="50">
        <v>11300</v>
      </c>
      <c r="D24" s="50">
        <f aca="true" t="shared" si="0" ref="D24:D31">C24+G$23</f>
        <v>30180</v>
      </c>
      <c r="E24">
        <f aca="true" t="shared" si="1" ref="E24:E31">C24-G$28</f>
        <v>3630</v>
      </c>
      <c r="G24" s="50"/>
    </row>
    <row r="25" spans="2:7" ht="12.75">
      <c r="B25">
        <v>100000</v>
      </c>
      <c r="C25">
        <v>22600</v>
      </c>
      <c r="D25" s="50">
        <f t="shared" si="0"/>
        <v>41480</v>
      </c>
      <c r="E25">
        <f t="shared" si="1"/>
        <v>14930</v>
      </c>
      <c r="G25" s="50"/>
    </row>
    <row r="26" spans="2:5" ht="12.75">
      <c r="B26">
        <v>200000</v>
      </c>
      <c r="C26">
        <v>45210</v>
      </c>
      <c r="D26" s="50">
        <f t="shared" si="0"/>
        <v>64090</v>
      </c>
      <c r="E26">
        <f t="shared" si="1"/>
        <v>37540</v>
      </c>
    </row>
    <row r="27" spans="2:7" ht="12.75">
      <c r="B27">
        <v>261000</v>
      </c>
      <c r="C27">
        <v>59000</v>
      </c>
      <c r="D27" s="50">
        <f t="shared" si="0"/>
        <v>77880</v>
      </c>
      <c r="E27">
        <f t="shared" si="1"/>
        <v>51330</v>
      </c>
      <c r="G27" t="s">
        <v>128</v>
      </c>
    </row>
    <row r="28" spans="2:7" ht="12.75">
      <c r="B28">
        <v>275000</v>
      </c>
      <c r="C28">
        <v>62160</v>
      </c>
      <c r="D28" s="50">
        <f t="shared" si="0"/>
        <v>81040</v>
      </c>
      <c r="E28">
        <f t="shared" si="1"/>
        <v>54490</v>
      </c>
      <c r="G28">
        <v>7670</v>
      </c>
    </row>
    <row r="29" spans="2:5" ht="12.75">
      <c r="B29">
        <v>300000</v>
      </c>
      <c r="C29">
        <v>67820</v>
      </c>
      <c r="D29" s="50">
        <f t="shared" si="0"/>
        <v>86700</v>
      </c>
      <c r="E29">
        <f t="shared" si="1"/>
        <v>60150</v>
      </c>
    </row>
    <row r="30" spans="2:5" ht="12.75">
      <c r="B30">
        <v>350000</v>
      </c>
      <c r="C30">
        <v>79120</v>
      </c>
      <c r="D30" s="50">
        <f t="shared" si="0"/>
        <v>98000</v>
      </c>
      <c r="E30">
        <f t="shared" si="1"/>
        <v>71450</v>
      </c>
    </row>
    <row r="31" spans="2:5" ht="12.75">
      <c r="B31">
        <v>400000</v>
      </c>
      <c r="C31">
        <v>90425</v>
      </c>
      <c r="D31" s="50">
        <f t="shared" si="0"/>
        <v>109305</v>
      </c>
      <c r="E31">
        <f t="shared" si="1"/>
        <v>82755</v>
      </c>
    </row>
    <row r="54" spans="1:3" ht="12.75">
      <c r="A54" s="10" t="s">
        <v>184</v>
      </c>
      <c r="B54" s="96" t="s">
        <v>180</v>
      </c>
      <c r="C54" s="96" t="s">
        <v>181</v>
      </c>
    </row>
    <row r="55" spans="1:3" ht="12.75">
      <c r="A55" s="10"/>
      <c r="B55" s="96" t="s">
        <v>182</v>
      </c>
      <c r="C55" s="96"/>
    </row>
    <row r="56" spans="1:3" ht="12.75">
      <c r="A56" s="10"/>
      <c r="B56" s="96" t="s">
        <v>183</v>
      </c>
      <c r="C56" s="96"/>
    </row>
    <row r="57" spans="1:3" ht="12.75">
      <c r="A57" s="10">
        <v>1986</v>
      </c>
      <c r="B57" s="176">
        <v>272000</v>
      </c>
      <c r="C57" s="176"/>
    </row>
    <row r="58" spans="1:3" ht="12.75">
      <c r="A58" s="10">
        <v>1987</v>
      </c>
      <c r="B58" s="176">
        <v>295890</v>
      </c>
      <c r="C58" s="176"/>
    </row>
    <row r="59" spans="1:3" ht="12.75">
      <c r="A59" s="10">
        <v>1988</v>
      </c>
      <c r="B59" s="176">
        <v>303850</v>
      </c>
      <c r="C59" s="176"/>
    </row>
    <row r="60" spans="1:3" ht="12.75">
      <c r="A60" s="10">
        <v>1989</v>
      </c>
      <c r="B60" s="176">
        <v>294160</v>
      </c>
      <c r="C60" s="176"/>
    </row>
    <row r="61" spans="1:3" ht="12.75">
      <c r="A61" s="10">
        <v>1990</v>
      </c>
      <c r="B61" s="176">
        <v>283350</v>
      </c>
      <c r="C61" s="176"/>
    </row>
    <row r="62" spans="1:3" ht="12.75">
      <c r="A62" s="10">
        <v>1991</v>
      </c>
      <c r="B62" s="176">
        <v>300170</v>
      </c>
      <c r="C62" s="176">
        <v>7638.4</v>
      </c>
    </row>
    <row r="63" spans="1:3" ht="12.75">
      <c r="A63" s="10">
        <v>1992</v>
      </c>
      <c r="B63" s="176">
        <v>288460</v>
      </c>
      <c r="C63" s="176">
        <v>8042.72</v>
      </c>
    </row>
    <row r="64" spans="1:3" ht="12.75">
      <c r="A64" s="10">
        <v>1993</v>
      </c>
      <c r="B64" s="176">
        <v>274470</v>
      </c>
      <c r="C64" s="176">
        <v>6181.12</v>
      </c>
    </row>
    <row r="65" spans="1:3" ht="12.75">
      <c r="A65" s="10">
        <v>1994</v>
      </c>
      <c r="B65" s="176">
        <v>289850</v>
      </c>
      <c r="C65" s="176">
        <v>13763.2</v>
      </c>
    </row>
    <row r="66" spans="1:3" ht="12.75">
      <c r="A66" s="10">
        <v>1995</v>
      </c>
      <c r="B66" s="176">
        <v>307530</v>
      </c>
      <c r="C66" s="176">
        <v>69252.97</v>
      </c>
    </row>
    <row r="67" spans="1:3" ht="12.75">
      <c r="A67" s="10">
        <v>1996</v>
      </c>
      <c r="B67" s="176">
        <v>270659</v>
      </c>
      <c r="C67" s="176">
        <v>21799.33</v>
      </c>
    </row>
    <row r="68" spans="1:3" ht="12.75">
      <c r="A68" s="10">
        <v>1997</v>
      </c>
      <c r="B68" s="176">
        <v>280000</v>
      </c>
      <c r="C68" s="176">
        <v>22150</v>
      </c>
    </row>
    <row r="69" spans="1:3" ht="12.75">
      <c r="A69">
        <v>1998</v>
      </c>
      <c r="B69" s="177">
        <v>199463</v>
      </c>
      <c r="C69" s="178">
        <v>52167</v>
      </c>
    </row>
    <row r="70" spans="1:3" ht="12.75">
      <c r="A70">
        <v>1999</v>
      </c>
      <c r="B70" s="177">
        <v>205361</v>
      </c>
      <c r="C70" s="178">
        <v>44218</v>
      </c>
    </row>
    <row r="71" spans="1:3" ht="12.75">
      <c r="A71" s="10">
        <v>2000</v>
      </c>
      <c r="B71" s="176">
        <v>98268</v>
      </c>
      <c r="C71" s="178">
        <v>9380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Fernando del Monte</cp:lastModifiedBy>
  <cp:lastPrinted>2001-08-08T23:09:22Z</cp:lastPrinted>
  <dcterms:created xsi:type="dcterms:W3CDTF">1998-04-15T20:46:00Z</dcterms:created>
  <dcterms:modified xsi:type="dcterms:W3CDTF">2009-03-20T16:16:45Z</dcterms:modified>
  <cp:category/>
  <cp:version/>
  <cp:contentType/>
  <cp:contentStatus/>
</cp:coreProperties>
</file>