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431" windowWidth="7965" windowHeight="3705" tabRatio="601" activeTab="5"/>
  </bookViews>
  <sheets>
    <sheet name="Secchi Trend" sheetId="1" r:id="rId1"/>
    <sheet name="Nutrient" sheetId="2" r:id="rId2"/>
    <sheet name="2002 Flow" sheetId="3" r:id="rId3"/>
    <sheet name="2002 Walker-carlson" sheetId="4" r:id="rId4"/>
    <sheet name="Res trends" sheetId="5" r:id="rId5"/>
    <sheet name="Loading" sheetId="6" r:id="rId6"/>
    <sheet name="Models" sheetId="7" r:id="rId7"/>
  </sheets>
  <definedNames>
    <definedName name="_xlnm.Print_Area" localSheetId="2">'2002 Flow'!$E$12:$J$47</definedName>
    <definedName name="_xlnm.Print_Area" localSheetId="6">'Models'!$A$5:$C$20</definedName>
    <definedName name="_xlnm.Print_Area">'2002 Walker-carlson'!$O$1:$U$25</definedName>
    <definedName name="PRINT_AREA_MI">'2002 Walker-carlson'!$O$1:$U$25</definedName>
  </definedNames>
  <calcPr fullCalcOnLoad="1"/>
</workbook>
</file>

<file path=xl/sharedStrings.xml><?xml version="1.0" encoding="utf-8"?>
<sst xmlns="http://schemas.openxmlformats.org/spreadsheetml/2006/main" count="446" uniqueCount="166">
  <si>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</si>
  <si>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</si>
  <si>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</si>
  <si>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</si>
  <si>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</si>
  <si>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</si>
  <si>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</si>
  <si>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</si>
  <si>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</si>
  <si>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</si>
  <si>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</si>
  <si>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Outflow</t>
  </si>
  <si>
    <t>Nitrate</t>
  </si>
  <si>
    <t>Total Phosphorus</t>
  </si>
  <si>
    <t>Flow</t>
  </si>
  <si>
    <t>Reservior Data</t>
  </si>
  <si>
    <t>Secchi</t>
  </si>
  <si>
    <t>Chlorophyll</t>
  </si>
  <si>
    <t>cfs</t>
  </si>
  <si>
    <t>Chlorophyll-a</t>
  </si>
  <si>
    <t>Secchi Depth</t>
  </si>
  <si>
    <t>ug/L</t>
  </si>
  <si>
    <t>m</t>
  </si>
  <si>
    <t>Year</t>
  </si>
  <si>
    <t>Carlson</t>
  </si>
  <si>
    <t>xsd</t>
  </si>
  <si>
    <t>xca</t>
  </si>
  <si>
    <t>xtp</t>
  </si>
  <si>
    <t>meso</t>
  </si>
  <si>
    <t>Walker</t>
  </si>
  <si>
    <t>lca</t>
  </si>
  <si>
    <t>ltp</t>
  </si>
  <si>
    <t>lsd</t>
  </si>
  <si>
    <t>eu</t>
  </si>
  <si>
    <t>Sum</t>
  </si>
  <si>
    <t>TP</t>
  </si>
  <si>
    <t>(mg/L)</t>
  </si>
  <si>
    <t>(mg/L as N)</t>
  </si>
  <si>
    <t>(mg/L as P)</t>
  </si>
  <si>
    <t>log chloro</t>
  </si>
  <si>
    <t>log TP</t>
  </si>
  <si>
    <t>(Total phos loading/mean outflow)*386</t>
  </si>
  <si>
    <t>P=</t>
  </si>
  <si>
    <t>lake volume/mean outflow</t>
  </si>
  <si>
    <t>T=</t>
  </si>
  <si>
    <t>5.5m</t>
  </si>
  <si>
    <t>Z=</t>
  </si>
  <si>
    <t>XTP</t>
  </si>
  <si>
    <t>XCA</t>
  </si>
  <si>
    <t>XSD</t>
  </si>
  <si>
    <t>meso-eu</t>
  </si>
  <si>
    <t>h</t>
  </si>
  <si>
    <t>Carlson's Index - Seasonal Averages</t>
  </si>
  <si>
    <t>Iw</t>
  </si>
  <si>
    <t>Isd</t>
  </si>
  <si>
    <t>Itp</t>
  </si>
  <si>
    <t>Ica</t>
  </si>
  <si>
    <t>Carlson's Index - Annual Averages</t>
  </si>
  <si>
    <t>Walker's Index - Seasonal Averages</t>
  </si>
  <si>
    <t>eutro</t>
  </si>
  <si>
    <t>hyper</t>
  </si>
  <si>
    <t>hypereutrophic</t>
  </si>
  <si>
    <t>65+</t>
  </si>
  <si>
    <t>Chl</t>
  </si>
  <si>
    <t>eutrophic</t>
  </si>
  <si>
    <t>50-65</t>
  </si>
  <si>
    <t>mesotrophic-eutrophic</t>
  </si>
  <si>
    <t>45-50</t>
  </si>
  <si>
    <t>mesotrophic</t>
  </si>
  <si>
    <t>30-45</t>
  </si>
  <si>
    <t>Seasonal Means</t>
  </si>
  <si>
    <t>oligotrophic-mesotrophic</t>
  </si>
  <si>
    <t>25-30</t>
  </si>
  <si>
    <t>oligotrophic</t>
  </si>
  <si>
    <t>0-25</t>
  </si>
  <si>
    <t>Annual Means</t>
  </si>
  <si>
    <t>Walker's Index - Annual Averages</t>
  </si>
  <si>
    <t>Hypereutrophic</t>
  </si>
  <si>
    <t>Eutrophic</t>
  </si>
  <si>
    <t>Mesotrophic-Eutrophic</t>
  </si>
  <si>
    <t>Mesotrophic</t>
  </si>
  <si>
    <t>Oligotrophic-Mesotrophic</t>
  </si>
  <si>
    <t>Oligotrophic</t>
  </si>
  <si>
    <t>Jan</t>
  </si>
  <si>
    <t>Plum Creek</t>
  </si>
  <si>
    <t>Waterton</t>
  </si>
  <si>
    <t>Littleton</t>
  </si>
  <si>
    <t>SPR upper</t>
  </si>
  <si>
    <t>PC Titan</t>
  </si>
  <si>
    <t>Monthly mean</t>
  </si>
  <si>
    <t>ac-ft/day</t>
  </si>
  <si>
    <t>ac-ft/mo</t>
  </si>
  <si>
    <t>South Platte River Inflow</t>
  </si>
  <si>
    <t>Plum Creek Inflow</t>
  </si>
  <si>
    <t>Total Inflow</t>
  </si>
  <si>
    <t>Annual</t>
  </si>
  <si>
    <t>Reservoir Outflow</t>
  </si>
  <si>
    <t>Reservoir Retention</t>
  </si>
  <si>
    <t>% of Flow</t>
  </si>
  <si>
    <t>DATE</t>
  </si>
  <si>
    <t>South Platte</t>
  </si>
  <si>
    <t>Reservoir</t>
  </si>
  <si>
    <t>Retention</t>
  </si>
  <si>
    <t>TMAL graph</t>
  </si>
  <si>
    <t>Volume (acre-ft/year)</t>
  </si>
  <si>
    <t>Total phosphorus (pounds)</t>
  </si>
  <si>
    <t>Upper Bound</t>
  </si>
  <si>
    <t>Lower Bound</t>
  </si>
  <si>
    <t>Assume 18,000 annual pounds implict margin of safety</t>
  </si>
  <si>
    <t xml:space="preserve">Seasonal </t>
  </si>
  <si>
    <t>Chl-a</t>
  </si>
  <si>
    <t>Predicted</t>
  </si>
  <si>
    <t>Over predict 29%</t>
  </si>
  <si>
    <t>32%higher</t>
  </si>
  <si>
    <t>13% upward bias</t>
  </si>
  <si>
    <t>Input</t>
  </si>
  <si>
    <t>TSS</t>
  </si>
  <si>
    <t>South Platte River</t>
  </si>
  <si>
    <t>TABLE 6</t>
  </si>
  <si>
    <t>CHATFIELD RESERVOIR</t>
  </si>
  <si>
    <t>Total-</t>
  </si>
  <si>
    <t>Phosphorus</t>
  </si>
  <si>
    <t>Concentration</t>
  </si>
  <si>
    <r>
      <t>(ug/L)</t>
    </r>
    <r>
      <rPr>
        <vertAlign val="superscript"/>
        <sz val="12"/>
        <rFont val="Tms Rmn"/>
        <family val="1"/>
      </rPr>
      <t>1)3)</t>
    </r>
  </si>
  <si>
    <t>4)</t>
  </si>
  <si>
    <t>Mean</t>
  </si>
  <si>
    <t>Std. Dev.</t>
  </si>
  <si>
    <t>Maximum</t>
  </si>
  <si>
    <t>Minimum</t>
  </si>
  <si>
    <t>N</t>
  </si>
  <si>
    <r>
      <t>(ug/L)</t>
    </r>
    <r>
      <rPr>
        <vertAlign val="superscript"/>
        <sz val="12"/>
        <rFont val="Tms Rmn"/>
        <family val="1"/>
      </rPr>
      <t>1)2)</t>
    </r>
  </si>
  <si>
    <t xml:space="preserve">Total </t>
  </si>
  <si>
    <t>TP Loading</t>
  </si>
  <si>
    <t>Volume</t>
  </si>
  <si>
    <t>acre-ft</t>
  </si>
  <si>
    <t>Annual TMAL</t>
  </si>
  <si>
    <t>TMAL Target Line</t>
  </si>
  <si>
    <t>GROWING SEASON (July-September)</t>
  </si>
  <si>
    <t>Growing 7-9</t>
  </si>
  <si>
    <t>GS</t>
  </si>
  <si>
    <t>Total Nitrate Loading</t>
  </si>
  <si>
    <t>Total</t>
  </si>
  <si>
    <t>South Platte Outflow</t>
  </si>
  <si>
    <t>Nitrate/</t>
  </si>
  <si>
    <t>Nitrogen,</t>
  </si>
  <si>
    <t>Phosphorus,</t>
  </si>
  <si>
    <t>Nitrite</t>
  </si>
  <si>
    <t>ammonia</t>
  </si>
  <si>
    <t>total</t>
  </si>
  <si>
    <t>ortho, total</t>
  </si>
  <si>
    <t>Annual Average</t>
  </si>
  <si>
    <t>Total Suspended</t>
  </si>
  <si>
    <t>Solids (TSS)</t>
  </si>
  <si>
    <t>Chatfield Reservoir</t>
  </si>
  <si>
    <t>AVG</t>
  </si>
  <si>
    <t>Total Suspended Sediment</t>
  </si>
  <si>
    <t>Ortho Phosphorus</t>
  </si>
  <si>
    <t>Total Nitrogen</t>
  </si>
  <si>
    <t>2002 Flow Estimates Chatfield Watershed</t>
  </si>
  <si>
    <t>2002 Chatfield Reservoir</t>
  </si>
  <si>
    <t>2002 Total Phosphorus loading</t>
  </si>
  <si>
    <t>2002 Nitrate Loadings</t>
  </si>
  <si>
    <t xml:space="preserve">Year </t>
  </si>
  <si>
    <t>Visual Depth (ft)</t>
  </si>
  <si>
    <t>Growing Season Average Secchi Depth (Feet)</t>
  </si>
  <si>
    <t>Pounds/Mo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</si>
</sst>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General_)"/>
    <numFmt numFmtId="167" formatCode="dd\-mmm\-yy_)"/>
    <numFmt numFmtId="168" formatCode="0.0000"/>
    <numFmt numFmtId="169" formatCode="0.0"/>
    <numFmt numFmtId="170" formatCode="mm/dd/yy"/>
    <numFmt numFmtId="171" formatCode="0_)"/>
    <numFmt numFmtId="172" formatCode="mm/dd/yy_)"/>
    <numFmt numFmtId="173" formatCode="0.000_)"/>
    <numFmt numFmtId="174" formatCode="0.0_)"/>
    <numFmt numFmtId="175" formatCode="0.00_)"/>
    <numFmt numFmtId="176" formatCode="00000"/>
    <numFmt numFmtId="177" formatCode="[$-409]dddd\,\ mmmm\ dd\,\ yyyy"/>
  </numFmts>
  <fonts count="69">
    <font>
      <sz val="10"/>
      <name val="Helvetica"/>
      <family val="2"/>
    </font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4.75"/>
      <name val="Arial"/>
      <family val="0"/>
    </font>
    <font>
      <sz val="9.5"/>
      <name val="Arial"/>
      <family val="2"/>
    </font>
    <font>
      <sz val="11.75"/>
      <name val="Arial"/>
      <family val="0"/>
    </font>
    <font>
      <b/>
      <sz val="9"/>
      <name val="Arial"/>
      <family val="2"/>
    </font>
    <font>
      <sz val="9.25"/>
      <name val="Arial"/>
      <family val="2"/>
    </font>
    <font>
      <sz val="14.5"/>
      <name val="Arial"/>
      <family val="0"/>
    </font>
    <font>
      <b/>
      <sz val="10.75"/>
      <name val="Arial"/>
      <family val="2"/>
    </font>
    <font>
      <sz val="8.5"/>
      <name val="Arial"/>
      <family val="2"/>
    </font>
    <font>
      <b/>
      <sz val="9.5"/>
      <name val="Arial"/>
      <family val="2"/>
    </font>
    <font>
      <b/>
      <sz val="9.25"/>
      <name val="Arial"/>
      <family val="2"/>
    </font>
    <font>
      <sz val="11.5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Helvetica"/>
      <family val="2"/>
    </font>
    <font>
      <b/>
      <sz val="9.75"/>
      <name val="Arial"/>
      <family val="2"/>
    </font>
    <font>
      <sz val="8"/>
      <name val="Helvetica"/>
      <family val="2"/>
    </font>
    <font>
      <sz val="10"/>
      <name val="Helv"/>
      <family val="0"/>
    </font>
    <font>
      <sz val="8"/>
      <name val="Helv"/>
      <family val="0"/>
    </font>
    <font>
      <sz val="11.25"/>
      <name val="Arial"/>
      <family val="0"/>
    </font>
    <font>
      <sz val="8.25"/>
      <name val="Arial"/>
      <family val="2"/>
    </font>
    <font>
      <sz val="15"/>
      <name val="Arial"/>
      <family val="0"/>
    </font>
    <font>
      <b/>
      <sz val="11.25"/>
      <name val="Arial"/>
      <family val="2"/>
    </font>
    <font>
      <sz val="8"/>
      <name val="Tms Rmn"/>
      <family val="1"/>
    </font>
    <font>
      <b/>
      <sz val="10.25"/>
      <name val="Arial"/>
      <family val="0"/>
    </font>
    <font>
      <sz val="17.75"/>
      <name val="Arial"/>
      <family val="0"/>
    </font>
    <font>
      <sz val="18.5"/>
      <name val="Arial"/>
      <family val="0"/>
    </font>
    <font>
      <b/>
      <sz val="14.25"/>
      <name val="Arial"/>
      <family val="0"/>
    </font>
    <font>
      <b/>
      <sz val="8"/>
      <name val="Tms Rmn"/>
      <family val="0"/>
    </font>
    <font>
      <b/>
      <sz val="8.25"/>
      <name val="Arial"/>
      <family val="2"/>
    </font>
    <font>
      <sz val="9"/>
      <name val="Tms Rmn"/>
      <family val="0"/>
    </font>
    <font>
      <i/>
      <sz val="9"/>
      <name val="Tms Rmn"/>
      <family val="0"/>
    </font>
    <font>
      <sz val="12"/>
      <name val="Tms Rmn"/>
      <family val="0"/>
    </font>
    <font>
      <vertAlign val="superscript"/>
      <sz val="12"/>
      <name val="Tms Rmn"/>
      <family val="1"/>
    </font>
    <font>
      <sz val="11"/>
      <color indexed="8"/>
      <name val="Comic Sans MS"/>
      <family val="4"/>
    </font>
    <font>
      <sz val="10"/>
      <color indexed="8"/>
      <name val="Arial"/>
      <family val="2"/>
    </font>
    <font>
      <sz val="8.75"/>
      <name val="Helvetica-Black"/>
      <family val="2"/>
    </font>
    <font>
      <sz val="11"/>
      <name val="Arial"/>
      <family val="2"/>
    </font>
    <font>
      <b/>
      <sz val="11.75"/>
      <name val="Arial"/>
      <family val="2"/>
    </font>
    <font>
      <b/>
      <sz val="11"/>
      <name val="Arial"/>
      <family val="2"/>
    </font>
    <font>
      <sz val="10.25"/>
      <name val="Arial"/>
      <family val="0"/>
    </font>
    <font>
      <u val="single"/>
      <sz val="10"/>
      <color indexed="36"/>
      <name val="Helvetica"/>
      <family val="2"/>
    </font>
    <font>
      <b/>
      <sz val="17.5"/>
      <name val="Arial"/>
      <family val="2"/>
    </font>
    <font>
      <sz val="15.75"/>
      <name val="Arial"/>
      <family val="0"/>
    </font>
    <font>
      <b/>
      <sz val="10"/>
      <name val="Helvetica"/>
      <family val="2"/>
    </font>
    <font>
      <sz val="8"/>
      <name val="Helvetica-Black"/>
      <family val="2"/>
    </font>
    <font>
      <i/>
      <sz val="8"/>
      <name val="Arial"/>
      <family val="2"/>
    </font>
    <font>
      <b/>
      <sz val="16"/>
      <name val="Arial"/>
      <family val="2"/>
    </font>
    <font>
      <u val="single"/>
      <sz val="11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ms Rmn"/>
      <family val="0"/>
    </font>
    <font>
      <sz val="9"/>
      <color indexed="8"/>
      <name val="Comic Sans MS"/>
      <family val="4"/>
    </font>
    <font>
      <sz val="5.75"/>
      <name val="Arial"/>
      <family val="2"/>
    </font>
    <font>
      <sz val="9"/>
      <name val="Helvetica"/>
      <family val="2"/>
    </font>
    <font>
      <sz val="10.5"/>
      <name val="Arial"/>
      <family val="0"/>
    </font>
    <font>
      <i/>
      <sz val="11"/>
      <color indexed="8"/>
      <name val="Comic Sans MS"/>
      <family val="4"/>
    </font>
    <font>
      <vertAlign val="superscript"/>
      <sz val="10"/>
      <name val="Arial"/>
      <family val="2"/>
    </font>
    <font>
      <sz val="9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" fontId="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173" fontId="23" fillId="0" borderId="0" xfId="0" applyNumberFormat="1" applyFont="1" applyAlignment="1" applyProtection="1">
      <alignment/>
      <protection/>
    </xf>
    <xf numFmtId="1" fontId="23" fillId="0" borderId="0" xfId="0" applyNumberFormat="1" applyFont="1" applyAlignment="1" applyProtection="1">
      <alignment/>
      <protection/>
    </xf>
    <xf numFmtId="171" fontId="23" fillId="0" borderId="0" xfId="0" applyNumberFormat="1" applyFont="1" applyAlignment="1" applyProtection="1">
      <alignment/>
      <protection/>
    </xf>
    <xf numFmtId="2" fontId="23" fillId="0" borderId="0" xfId="0" applyNumberFormat="1" applyFont="1" applyAlignment="1" applyProtection="1">
      <alignment/>
      <protection/>
    </xf>
    <xf numFmtId="16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9" fillId="0" borderId="0" xfId="0" applyFont="1" applyFill="1" applyAlignment="1">
      <alignment/>
    </xf>
    <xf numFmtId="169" fontId="2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169" fontId="29" fillId="0" borderId="2" xfId="0" applyNumberFormat="1" applyFont="1" applyFill="1" applyBorder="1" applyAlignment="1">
      <alignment horizontal="center"/>
    </xf>
    <xf numFmtId="0" fontId="29" fillId="0" borderId="2" xfId="0" applyNumberFormat="1" applyFont="1" applyFill="1" applyBorder="1" applyAlignment="1">
      <alignment horizontal="center"/>
    </xf>
    <xf numFmtId="171" fontId="29" fillId="0" borderId="2" xfId="0" applyNumberFormat="1" applyFont="1" applyFill="1" applyBorder="1" applyAlignment="1" applyProtection="1">
      <alignment horizontal="center"/>
      <protection/>
    </xf>
    <xf numFmtId="0" fontId="29" fillId="0" borderId="2" xfId="0" applyFont="1" applyFill="1" applyBorder="1" applyAlignment="1">
      <alignment horizontal="centerContinuous"/>
    </xf>
    <xf numFmtId="171" fontId="29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" fillId="3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15" fontId="29" fillId="0" borderId="0" xfId="0" applyNumberFormat="1" applyFont="1" applyFill="1" applyAlignment="1">
      <alignment horizontal="center"/>
    </xf>
    <xf numFmtId="20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3" xfId="0" applyFont="1" applyFill="1" applyBorder="1" applyAlignment="1">
      <alignment horizontal="center"/>
    </xf>
    <xf numFmtId="169" fontId="34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4" fontId="29" fillId="0" borderId="0" xfId="0" applyNumberFormat="1" applyFont="1" applyFill="1" applyAlignment="1">
      <alignment horizontal="center"/>
    </xf>
    <xf numFmtId="22" fontId="29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/>
    </xf>
    <xf numFmtId="2" fontId="29" fillId="0" borderId="0" xfId="0" applyNumberFormat="1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2" fontId="29" fillId="0" borderId="0" xfId="0" applyNumberFormat="1" applyFont="1" applyFill="1" applyAlignment="1">
      <alignment/>
    </xf>
    <xf numFmtId="164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22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0" fillId="0" borderId="4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164" fontId="29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Font="1" applyFill="1" applyBorder="1" applyAlignment="1">
      <alignment horizontal="center"/>
    </xf>
    <xf numFmtId="2" fontId="29" fillId="0" borderId="5" xfId="0" applyNumberFormat="1" applyFont="1" applyFill="1" applyBorder="1" applyAlignment="1" applyProtection="1">
      <alignment horizontal="center"/>
      <protection/>
    </xf>
    <xf numFmtId="15" fontId="36" fillId="0" borderId="0" xfId="0" applyNumberFormat="1" applyFont="1" applyFill="1" applyAlignment="1">
      <alignment horizontal="center"/>
    </xf>
    <xf numFmtId="20" fontId="36" fillId="0" borderId="0" xfId="0" applyNumberFormat="1" applyFont="1" applyFill="1" applyAlignment="1">
      <alignment horizontal="center"/>
    </xf>
    <xf numFmtId="0" fontId="36" fillId="0" borderId="0" xfId="0" applyNumberFormat="1" applyFont="1" applyFill="1" applyAlignment="1">
      <alignment horizontal="center"/>
    </xf>
    <xf numFmtId="169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2" fontId="36" fillId="0" borderId="0" xfId="0" applyNumberFormat="1" applyFont="1" applyFill="1" applyAlignment="1">
      <alignment horizontal="center"/>
    </xf>
    <xf numFmtId="164" fontId="36" fillId="0" borderId="0" xfId="0" applyNumberFormat="1" applyFont="1" applyFill="1" applyAlignment="1">
      <alignment horizontal="center"/>
    </xf>
    <xf numFmtId="1" fontId="36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 horizontal="center"/>
    </xf>
    <xf numFmtId="0" fontId="38" fillId="0" borderId="0" xfId="0" applyFont="1" applyAlignment="1">
      <alignment horizontal="centerContinuous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71" fontId="38" fillId="0" borderId="0" xfId="0" applyNumberFormat="1" applyFont="1" applyAlignment="1" applyProtection="1">
      <alignment horizontal="center"/>
      <protection/>
    </xf>
    <xf numFmtId="0" fontId="39" fillId="0" borderId="0" xfId="0" applyFont="1" applyAlignment="1">
      <alignment horizontal="center"/>
    </xf>
    <xf numFmtId="174" fontId="38" fillId="0" borderId="0" xfId="0" applyNumberFormat="1" applyFont="1" applyAlignment="1" applyProtection="1">
      <alignment horizontal="center"/>
      <protection/>
    </xf>
    <xf numFmtId="169" fontId="38" fillId="0" borderId="0" xfId="0" applyNumberFormat="1" applyFont="1" applyAlignment="1">
      <alignment horizontal="center"/>
    </xf>
    <xf numFmtId="174" fontId="38" fillId="0" borderId="0" xfId="0" applyNumberFormat="1" applyFont="1" applyAlignment="1">
      <alignment horizontal="center"/>
    </xf>
    <xf numFmtId="174" fontId="38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72" fontId="22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15" fontId="36" fillId="0" borderId="6" xfId="0" applyNumberFormat="1" applyFont="1" applyFill="1" applyBorder="1" applyAlignment="1">
      <alignment horizontal="center"/>
    </xf>
    <xf numFmtId="20" fontId="36" fillId="0" borderId="6" xfId="0" applyNumberFormat="1" applyFont="1" applyFill="1" applyBorder="1" applyAlignment="1">
      <alignment horizontal="center"/>
    </xf>
    <xf numFmtId="169" fontId="36" fillId="0" borderId="6" xfId="0" applyNumberFormat="1" applyFont="1" applyFill="1" applyBorder="1" applyAlignment="1">
      <alignment horizontal="center"/>
    </xf>
    <xf numFmtId="1" fontId="36" fillId="0" borderId="6" xfId="0" applyNumberFormat="1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164" fontId="36" fillId="0" borderId="6" xfId="0" applyNumberFormat="1" applyFont="1" applyFill="1" applyBorder="1" applyAlignment="1">
      <alignment horizontal="center"/>
    </xf>
    <xf numFmtId="169" fontId="36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5" fontId="36" fillId="0" borderId="0" xfId="0" applyNumberFormat="1" applyFont="1" applyFill="1" applyBorder="1" applyAlignment="1">
      <alignment horizontal="center"/>
    </xf>
    <xf numFmtId="20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164" fontId="0" fillId="0" borderId="0" xfId="0" applyNumberFormat="1" applyFill="1" applyAlignment="1">
      <alignment/>
    </xf>
    <xf numFmtId="0" fontId="34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1" fontId="38" fillId="0" borderId="0" xfId="0" applyNumberFormat="1" applyFont="1" applyAlignment="1" applyProtection="1">
      <alignment horizontal="center"/>
      <protection/>
    </xf>
    <xf numFmtId="1" fontId="39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16" fontId="1" fillId="0" borderId="0" xfId="0" applyNumberFormat="1" applyFont="1" applyAlignment="1">
      <alignment horizontal="right"/>
    </xf>
    <xf numFmtId="0" fontId="38" fillId="0" borderId="0" xfId="0" applyFont="1" applyBorder="1" applyAlignment="1">
      <alignment horizontal="centerContinuous"/>
    </xf>
    <xf numFmtId="1" fontId="38" fillId="0" borderId="0" xfId="0" applyNumberFormat="1" applyFont="1" applyBorder="1" applyAlignment="1">
      <alignment horizontal="center"/>
    </xf>
    <xf numFmtId="169" fontId="38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2" fontId="4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50" fillId="0" borderId="1" xfId="0" applyNumberFormat="1" applyFont="1" applyBorder="1" applyAlignment="1">
      <alignment horizontal="center"/>
    </xf>
    <xf numFmtId="0" fontId="24" fillId="0" borderId="0" xfId="0" applyFont="1" applyBorder="1" applyAlignment="1" applyProtection="1">
      <alignment/>
      <protection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2" xfId="0" applyFont="1" applyFill="1" applyBorder="1" applyAlignment="1">
      <alignment horizontal="center"/>
    </xf>
    <xf numFmtId="15" fontId="40" fillId="0" borderId="0" xfId="0" applyNumberFormat="1" applyFont="1" applyFill="1" applyBorder="1" applyAlignment="1">
      <alignment horizontal="right" wrapText="1"/>
    </xf>
    <xf numFmtId="169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2" xfId="0" applyFont="1" applyFill="1" applyBorder="1" applyAlignment="1">
      <alignment horizontal="center"/>
    </xf>
    <xf numFmtId="15" fontId="55" fillId="0" borderId="0" xfId="0" applyNumberFormat="1" applyFont="1" applyFill="1" applyBorder="1" applyAlignment="1">
      <alignment horizontal="right" wrapText="1"/>
    </xf>
    <xf numFmtId="0" fontId="55" fillId="0" borderId="0" xfId="0" applyFont="1" applyBorder="1" applyAlignment="1">
      <alignment horizontal="center"/>
    </xf>
    <xf numFmtId="2" fontId="40" fillId="0" borderId="0" xfId="0" applyNumberFormat="1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2" fontId="40" fillId="0" borderId="2" xfId="0" applyNumberFormat="1" applyFont="1" applyFill="1" applyBorder="1" applyAlignment="1">
      <alignment horizontal="center"/>
    </xf>
    <xf numFmtId="15" fontId="40" fillId="0" borderId="7" xfId="0" applyNumberFormat="1" applyFont="1" applyFill="1" applyBorder="1" applyAlignment="1">
      <alignment horizontal="right" wrapText="1"/>
    </xf>
    <xf numFmtId="2" fontId="54" fillId="0" borderId="0" xfId="0" applyNumberFormat="1" applyFont="1" applyFill="1" applyBorder="1" applyAlignment="1">
      <alignment horizontal="center" wrapText="1"/>
    </xf>
    <xf numFmtId="0" fontId="29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2" fontId="56" fillId="0" borderId="7" xfId="0" applyNumberFormat="1" applyFont="1" applyFill="1" applyBorder="1" applyAlignment="1">
      <alignment horizontal="center" wrapText="1"/>
    </xf>
    <xf numFmtId="0" fontId="56" fillId="0" borderId="7" xfId="0" applyFont="1" applyFill="1" applyBorder="1" applyAlignment="1">
      <alignment horizontal="center" wrapText="1"/>
    </xf>
    <xf numFmtId="0" fontId="57" fillId="0" borderId="7" xfId="0" applyFont="1" applyFill="1" applyBorder="1" applyAlignment="1">
      <alignment horizontal="center" wrapText="1"/>
    </xf>
    <xf numFmtId="2" fontId="56" fillId="0" borderId="0" xfId="0" applyNumberFormat="1" applyFont="1" applyFill="1" applyBorder="1" applyAlignment="1">
      <alignment horizontal="center" wrapText="1"/>
    </xf>
    <xf numFmtId="49" fontId="56" fillId="0" borderId="0" xfId="0" applyNumberFormat="1" applyFont="1" applyFill="1" applyBorder="1" applyAlignment="1">
      <alignment horizontal="center" wrapText="1"/>
    </xf>
    <xf numFmtId="49" fontId="57" fillId="0" borderId="0" xfId="0" applyNumberFormat="1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Continuous"/>
    </xf>
    <xf numFmtId="0" fontId="60" fillId="0" borderId="5" xfId="0" applyFont="1" applyFill="1" applyBorder="1" applyAlignment="1">
      <alignment horizontal="center"/>
    </xf>
    <xf numFmtId="0" fontId="60" fillId="0" borderId="5" xfId="0" applyFont="1" applyFill="1" applyBorder="1" applyAlignment="1">
      <alignment horizontal="centerContinuous"/>
    </xf>
    <xf numFmtId="2" fontId="60" fillId="0" borderId="0" xfId="0" applyNumberFormat="1" applyFont="1" applyFill="1" applyAlignment="1">
      <alignment horizontal="center"/>
    </xf>
    <xf numFmtId="15" fontId="61" fillId="0" borderId="0" xfId="0" applyNumberFormat="1" applyFont="1" applyFill="1" applyAlignment="1">
      <alignment horizontal="center"/>
    </xf>
    <xf numFmtId="2" fontId="61" fillId="0" borderId="0" xfId="0" applyNumberFormat="1" applyFont="1" applyFill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49" fontId="62" fillId="0" borderId="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3" fontId="1" fillId="0" borderId="1" xfId="0" applyNumberFormat="1" applyFont="1" applyBorder="1" applyAlignment="1">
      <alignment horizontal="right"/>
    </xf>
    <xf numFmtId="2" fontId="54" fillId="0" borderId="2" xfId="0" applyNumberFormat="1" applyFont="1" applyFill="1" applyBorder="1" applyAlignment="1">
      <alignment horizontal="center" wrapText="1"/>
    </xf>
    <xf numFmtId="168" fontId="36" fillId="0" borderId="0" xfId="0" applyNumberFormat="1" applyFont="1" applyFill="1" applyAlignment="1">
      <alignment horizontal="center"/>
    </xf>
    <xf numFmtId="168" fontId="36" fillId="0" borderId="6" xfId="0" applyNumberFormat="1" applyFont="1" applyFill="1" applyBorder="1" applyAlignment="1">
      <alignment horizontal="center"/>
    </xf>
    <xf numFmtId="1" fontId="59" fillId="0" borderId="0" xfId="0" applyNumberFormat="1" applyFont="1" applyFill="1" applyAlignment="1">
      <alignment horizontal="left" vertical="top" wrapText="1"/>
    </xf>
    <xf numFmtId="0" fontId="40" fillId="0" borderId="2" xfId="0" applyFont="1" applyFill="1" applyBorder="1" applyAlignment="1">
      <alignment horizontal="left" vertical="top" wrapText="1"/>
    </xf>
    <xf numFmtId="0" fontId="58" fillId="0" borderId="2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64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66" fillId="0" borderId="0" xfId="0" applyFont="1" applyBorder="1" applyAlignment="1">
      <alignment/>
    </xf>
    <xf numFmtId="2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9" fontId="55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3" fontId="0" fillId="0" borderId="0" xfId="0" applyNumberFormat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/>
    </xf>
    <xf numFmtId="10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9" fillId="4" borderId="1" xfId="0" applyNumberFormat="1" applyFont="1" applyFill="1" applyBorder="1" applyAlignment="1">
      <alignment horizontal="right"/>
    </xf>
    <xf numFmtId="0" fontId="50" fillId="4" borderId="8" xfId="0" applyFont="1" applyFill="1" applyBorder="1" applyAlignment="1">
      <alignment wrapText="1"/>
    </xf>
    <xf numFmtId="0" fontId="40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164" fontId="53" fillId="0" borderId="0" xfId="0" applyNumberFormat="1" applyFont="1" applyAlignment="1">
      <alignment horizontal="center"/>
    </xf>
    <xf numFmtId="164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50" fillId="3" borderId="1" xfId="0" applyFont="1" applyFill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" fontId="2" fillId="4" borderId="8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164" fontId="2" fillId="4" borderId="8" xfId="0" applyNumberFormat="1" applyFont="1" applyFill="1" applyBorder="1" applyAlignment="1">
      <alignment horizontal="center" wrapText="1"/>
    </xf>
    <xf numFmtId="164" fontId="2" fillId="4" borderId="13" xfId="0" applyNumberFormat="1" applyFont="1" applyFill="1" applyBorder="1" applyAlignment="1">
      <alignment horizontal="center" wrapText="1"/>
    </xf>
    <xf numFmtId="0" fontId="50" fillId="4" borderId="13" xfId="0" applyFont="1" applyFill="1" applyBorder="1" applyAlignment="1">
      <alignment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Growing Season Average Secchi Depth (Feet)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'Secchi Trend'!$C$3</c:f>
              <c:strCache>
                <c:ptCount val="1"/>
                <c:pt idx="0">
                  <c:v>Visual Depth (ft)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'Secchi Trend'!$B$4:$B$18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'Secchi Trend'!$C$4:$C$18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63936427"/>
        <c:axId val="38556932"/>
      </c:bar3DChart>
      <c:catAx>
        <c:axId val="6393642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low"/>
        <c:crossAx val="38556932"/>
        <c:crosses val="autoZero"/>
        <c:auto val="1"/>
        <c:lblOffset val="100"/>
        <c:noMultiLvlLbl val="0"/>
      </c:catAx>
      <c:valAx>
        <c:axId val="3855693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Visual Depth Into Water Column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3642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1991-2002 Walker's Seasonal Trophic Pediction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8225"/>
          <c:h val="0.79325"/>
        </c:manualLayout>
      </c:layout>
      <c:lineChart>
        <c:grouping val="standard"/>
        <c:varyColors val="0"/>
        <c:ser>
          <c:idx val="0"/>
          <c:order val="0"/>
          <c:tx>
            <c:v>Walker's Seasonal TSI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'2002 Walker-carlson'!$Q$16:$AB$16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'2002 Walker-carlson'!$Q$26:$AB$26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44343035"/>
        <c:axId val="63542996"/>
      </c:lineChart>
      <c:catAx>
        <c:axId val="44343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3542996"/>
        <c:crosses val="autoZero"/>
        <c:auto val="1"/>
        <c:lblOffset val="100"/>
        <c:noMultiLvlLbl val="0"/>
      </c:catAx>
      <c:valAx>
        <c:axId val="6354299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4343035"/>
        <c:crossesAt val="1"/>
        <c:crossBetween val="between"/>
        <c:dispUnits/>
        <c:majorUnit val="20"/>
        <c:minorUnit val="1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1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1991- 2002 Carlson's Seasonal Trophic Prediction
Chatfield Reservoir</a:t>
            </a:r>
          </a:p>
        </c:rich>
      </c:tx>
      <c:layout>
        <c:manualLayout>
          <c:xMode val="factor"/>
          <c:yMode val="factor"/>
          <c:x val="0.027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625"/>
          <c:w val="0.964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'2002 Walker-carlson'!$A$29</c:f>
              <c:strCache>
                <c:ptCount val="1"/>
                <c:pt idx="0">
                  <c:v>Secchi Depth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 Walker-carlson'!$C$28:$N$28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'2002 Walker-carlson'!$C$30:$N$30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'2002 Walker-carlson'!$A$32</c:f>
              <c:strCache>
                <c:ptCount val="1"/>
                <c:pt idx="0">
                  <c:v>Chlorophyll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 Walker-carlson'!$C$28:$N$28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'2002 Walker-carlson'!$C$33:$N$33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'2002 Walker-carlson'!$A$35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cat>
            <c:numRef>
              <c:f>'2002 Walker-carlson'!$C$28:$N$28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'2002 Walker-carlson'!$C$36:$N$36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35016053"/>
        <c:axId val="46709022"/>
      </c:lineChart>
      <c:catAx>
        <c:axId val="350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6709022"/>
        <c:crosses val="autoZero"/>
        <c:auto val="1"/>
        <c:lblOffset val="100"/>
        <c:noMultiLvlLbl val="0"/>
      </c:catAx>
      <c:valAx>
        <c:axId val="4670902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0160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75"/>
          <c:y val="0.905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Chatfield Reservoir 
Growing Season Average Chlorophyll-a </a:t>
            </a:r>
          </a:p>
        </c:rich>
      </c:tx>
      <c:layout>
        <c:manualLayout>
          <c:xMode val="factor"/>
          <c:yMode val="factor"/>
          <c:x val="0.00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675"/>
          <c:w val="0.920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trends'!$B$19</c:f>
              <c:strCache>
                <c:ptCount val="1"/>
                <c:pt idx="0">
                  <c:v>Chlorophyll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0"/>
            <c:dispRSqr val="0"/>
          </c:trendline>
          <c:cat>
            <c:numRef>
              <c:f>'Res trends'!$A$41:$A$60</c:f>
              <c:numCache/>
            </c:numRef>
          </c:cat>
          <c:val>
            <c:numRef>
              <c:f>'Res trends'!$B$41:$B$60</c:f>
              <c:numCache/>
            </c:numRef>
          </c:val>
          <c:smooth val="1"/>
        </c:ser>
        <c:marker val="1"/>
        <c:axId val="17728015"/>
        <c:axId val="25334408"/>
      </c:lineChart>
      <c:catAx>
        <c:axId val="17728015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5334408"/>
        <c:crosses val="autoZero"/>
        <c:auto val="1"/>
        <c:lblOffset val="100"/>
        <c:tickLblSkip val="1"/>
        <c:noMultiLvlLbl val="0"/>
      </c:catAx>
      <c:valAx>
        <c:axId val="2533440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Chlorophyll-a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7728015"/>
        <c:crossesAt val="1"/>
        <c:crossBetween val="between"/>
        <c:dispUnits/>
        <c:minorUnit val="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Chatfield Reservoir
 Annual Total Phosphorus vs. Chlorophyll-a</a:t>
            </a:r>
          </a:p>
        </c:rich>
      </c:tx>
      <c:layout>
        <c:manualLayout>
          <c:xMode val="factor"/>
          <c:yMode val="factor"/>
          <c:x val="-0.01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3625"/>
          <c:w val="0.87175"/>
          <c:h val="0.86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'Res trends'!$B$19</c:f>
              <c:strCache>
                <c:ptCount val="1"/>
                <c:pt idx="0">
                  <c:v>Chlorophyll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trends'!$A$20:$A$39</c:f>
              <c:numCache/>
            </c:numRef>
          </c:cat>
          <c:val>
            <c:numRef>
              <c:f>'Res trends'!$B$20:$B$39</c:f>
              <c:numCache/>
            </c:numRef>
          </c:val>
        </c:ser>
        <c:axId val="26683081"/>
        <c:axId val="38821138"/>
      </c:barChart>
      <c:lineChart>
        <c:grouping val="standard"/>
        <c:varyColors val="0"/>
        <c:ser>
          <c:idx val="0"/>
          <c:order val="1"/>
          <c:tx>
            <c:strRef>
              <c:f>'Res trends'!$C$19</c:f>
              <c:strCache>
                <c:ptCount val="1"/>
                <c:pt idx="0">
                  <c:v>TP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'Res trends'!$A$20:$A$39</c:f>
              <c:numCache/>
            </c:numRef>
          </c:cat>
          <c:val>
            <c:numRef>
              <c:f>'Res trends'!$C$20:$C$39</c:f>
              <c:numCache/>
            </c:numRef>
          </c:val>
          <c:smooth val="1"/>
        </c:ser>
        <c:axId val="13845923"/>
        <c:axId val="57504444"/>
      </c:lineChart>
      <c:catAx>
        <c:axId val="266830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8821138"/>
        <c:crosses val="autoZero"/>
        <c:auto val="0"/>
        <c:lblOffset val="100"/>
        <c:tickLblSkip val="1"/>
        <c:noMultiLvlLbl val="0"/>
      </c:catAx>
      <c:valAx>
        <c:axId val="38821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683081"/>
        <c:crossesAt val="1"/>
        <c:crossBetween val="between"/>
        <c:dispUnits/>
      </c:valAx>
      <c:catAx>
        <c:axId val="13845923"/>
        <c:scaling>
          <c:orientation val="minMax"/>
        </c:scaling>
        <c:axPos val="b"/>
        <c:delete val="1"/>
        <c:majorTickMark val="in"/>
        <c:minorTickMark val="none"/>
        <c:tickLblPos val="nextTo"/>
        <c:crossAx val="57504444"/>
        <c:crosses val="autoZero"/>
        <c:auto val="0"/>
        <c:lblOffset val="100"/>
        <c:noMultiLvlLbl val="0"/>
      </c:catAx>
      <c:valAx>
        <c:axId val="57504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84592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78"/>
          <c:y val="0.25775"/>
          <c:w val="0.2225"/>
          <c:h val="0.1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 </a:t>
            </a:r>
            <a:r>
              <a:rPr lang="en-US" cap="none" sz="1000" b="1" i="0" u="none" baseline="0"/>
              <a:t>1982-2002 Chatfield Reservoir Chlorophyll &amp; Phosphorus Growing Season Linear Trend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6175"/>
          <c:w val="0.89375"/>
          <c:h val="0.76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y = 0.3045x</a:t>
                    </a:r>
                    <a:r>
                      <a:rPr lang="en-US" cap="none" sz="1000" b="0" i="0" u="none" baseline="30000"/>
                      <a:t>2</a:t>
                    </a:r>
                    <a:r>
                      <a:rPr lang="en-US" cap="none" sz="1000" b="0" i="0" u="none" baseline="0"/>
                      <a:t> - 0.0932x + 1.2584
R</a:t>
                    </a:r>
                    <a:r>
                      <a:rPr lang="en-US" cap="none" sz="1000" b="0" i="0" u="none" baseline="30000"/>
                      <a:t>2</a:t>
                    </a:r>
                    <a:r>
                      <a:rPr lang="en-US" cap="none" sz="1000" b="0" i="0" u="none" baseline="0"/>
                      <a:t> = 0.3375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'Res trends'!$D$41:$D$60</c:f>
              <c:numCache/>
            </c:numRef>
          </c:xVal>
          <c:yVal>
            <c:numRef>
              <c:f>'Res trends'!$E$41:$E$60</c:f>
              <c:numCache/>
            </c:numRef>
          </c:yVal>
          <c:smooth val="0"/>
        </c:ser>
        <c:axId val="47777949"/>
        <c:axId val="27348358"/>
      </c:scatterChart>
      <c:valAx>
        <c:axId val="47777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log Chlorophyll-a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7348358"/>
        <c:crosses val="autoZero"/>
        <c:crossBetween val="midCat"/>
        <c:dispUnits/>
      </c:valAx>
      <c:valAx>
        <c:axId val="27348358"/>
        <c:scaling>
          <c:orientation val="minMax"/>
          <c:max val="1.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log Total 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7777949"/>
        <c:crosses val="autoZero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2002 </a:t>
            </a:r>
            <a:r>
              <a:rPr lang="en-US" cap="none" sz="1125" b="1" i="0" u="none" baseline="0"/>
              <a:t>Chatfield Reservoir Secchi Depth</a:t>
            </a:r>
          </a:p>
        </c:rich>
      </c:tx>
      <c:layout>
        <c:manualLayout>
          <c:xMode val="factor"/>
          <c:yMode val="factor"/>
          <c:x val="-0.009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4225"/>
          <c:w val="0.8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trends'!$B$2</c:f>
              <c:strCache>
                <c:ptCount val="1"/>
                <c:pt idx="0">
                  <c:v>TP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numFmt formatCode="General" sourceLinked="1"/>
            </c:trendlineLbl>
          </c:trendline>
          <c:cat>
            <c:strRef>
              <c:f>'Res trends'!$E$3:$E$14</c:f>
              <c:strCache/>
            </c:strRef>
          </c:cat>
          <c:val>
            <c:numRef>
              <c:f>'Res trends'!$D$3:$D$14</c:f>
              <c:numCache/>
            </c:numRef>
          </c:val>
          <c:smooth val="1"/>
        </c:ser>
        <c:marker val="1"/>
        <c:axId val="44808631"/>
        <c:axId val="624496"/>
      </c:lineChart>
      <c:catAx>
        <c:axId val="4480863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24496"/>
        <c:crosses val="autoZero"/>
        <c:auto val="1"/>
        <c:lblOffset val="100"/>
        <c:noMultiLvlLbl val="0"/>
      </c:catAx>
      <c:valAx>
        <c:axId val="62449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Clarity 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4808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1982-2002 </a:t>
            </a:r>
            <a:r>
              <a:rPr lang="en-US" cap="none" sz="900" b="1" i="0" u="none" baseline="0"/>
              <a:t>Chatfield Reservoir
 Seasonal Total Phosphorus vs. Chlorophyll-a
</a:t>
            </a:r>
          </a:p>
        </c:rich>
      </c:tx>
      <c:layout>
        <c:manualLayout>
          <c:xMode val="factor"/>
          <c:yMode val="factor"/>
          <c:x val="0.02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65"/>
          <c:w val="0.8795"/>
          <c:h val="0.838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'Res trends'!$B$41:$B$60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5620465"/>
        <c:axId val="50584186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trends'!$C$41:$C$60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axId val="52604491"/>
        <c:axId val="3678372"/>
      </c:lineChart>
      <c:catAx>
        <c:axId val="56204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0584186"/>
        <c:crosses val="autoZero"/>
        <c:auto val="0"/>
        <c:lblOffset val="100"/>
        <c:noMultiLvlLbl val="0"/>
      </c:catAx>
      <c:valAx>
        <c:axId val="5058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20465"/>
        <c:crossesAt val="1"/>
        <c:crossBetween val="between"/>
        <c:dispUnits/>
      </c:valAx>
      <c:catAx>
        <c:axId val="52604491"/>
        <c:scaling>
          <c:orientation val="minMax"/>
        </c:scaling>
        <c:axPos val="b"/>
        <c:delete val="1"/>
        <c:majorTickMark val="in"/>
        <c:minorTickMark val="none"/>
        <c:tickLblPos val="nextTo"/>
        <c:crossAx val="3678372"/>
        <c:crosses val="autoZero"/>
        <c:auto val="0"/>
        <c:lblOffset val="100"/>
        <c:noMultiLvlLbl val="0"/>
      </c:catAx>
      <c:valAx>
        <c:axId val="3678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60449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"/>
          <c:y val="0.23375"/>
          <c:w val="0.347"/>
          <c:h val="0.0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Chatfield Reservoir
Total Nitrate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5"/>
          <c:y val="0.1795"/>
          <c:w val="0.836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Loading!$B$2</c:f>
              <c:strCache>
                <c:ptCount val="1"/>
                <c:pt idx="0">
                  <c:v>South Platte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Loading!$B$3:$B$14</c:f>
              <c:numCache/>
            </c:numRef>
          </c:val>
        </c:ser>
        <c:ser>
          <c:idx val="1"/>
          <c:order val="1"/>
          <c:tx>
            <c:strRef>
              <c:f>Loading!$C$2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Loading!$C$3:$C$14</c:f>
              <c:numCache/>
            </c:numRef>
          </c:val>
        </c:ser>
        <c:axId val="33105349"/>
        <c:axId val="29512686"/>
      </c:barChart>
      <c:catAx>
        <c:axId val="33105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512686"/>
        <c:crosses val="autoZero"/>
        <c:auto val="1"/>
        <c:lblOffset val="100"/>
        <c:noMultiLvlLbl val="0"/>
      </c:catAx>
      <c:valAx>
        <c:axId val="29512686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Nitrate Loading Pounds/Month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31053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26325"/>
          <c:w val="0.22325"/>
          <c:h val="0.16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2002 Chatfield Reservoir
Total Phosphorus Loading [Pounds/Month]</a:t>
            </a:r>
          </a:p>
        </c:rich>
      </c:tx>
      <c:layout>
        <c:manualLayout>
          <c:xMode val="factor"/>
          <c:yMode val="factor"/>
          <c:x val="0.03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875"/>
          <c:w val="0.857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South Platte River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Loading!$B$39:$B$50</c:f>
              <c:numCache/>
            </c:numRef>
          </c:val>
        </c:ser>
        <c:ser>
          <c:idx val="1"/>
          <c:order val="1"/>
          <c:tx>
            <c:v>Plum Creek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Loading!$C$39:$C$50</c:f>
              <c:numCache/>
            </c:numRef>
          </c:val>
        </c:ser>
        <c:axId val="64287583"/>
        <c:axId val="41717336"/>
      </c:barChart>
      <c:catAx>
        <c:axId val="6428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717336"/>
        <c:crosses val="autoZero"/>
        <c:auto val="1"/>
        <c:lblOffset val="100"/>
        <c:noMultiLvlLbl val="0"/>
      </c:catAx>
      <c:valAx>
        <c:axId val="41717336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Total Phosphorus (Pounds/month)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287583"/>
        <c:crossesAt val="1"/>
        <c:crossBetween val="between"/>
        <c:dispUnits/>
        <c:majorUnit val="25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2145"/>
          <c:y val="0.27725"/>
          <c:w val="0.271"/>
          <c:h val="0.1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2002 Chatfield Reservoir 
Total Suspended Solids Loading [Pounds/Month]</a:t>
            </a:r>
          </a:p>
        </c:rich>
      </c:tx>
      <c:layout>
        <c:manualLayout>
          <c:xMode val="factor"/>
          <c:yMode val="factor"/>
          <c:x val="0.077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215"/>
          <c:w val="0.934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Loading!$B$74</c:f>
              <c:strCache>
                <c:ptCount val="1"/>
                <c:pt idx="0">
                  <c:v>South Platte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Loading!$A$76:$A$87</c:f>
              <c:strCache/>
            </c:strRef>
          </c:cat>
          <c:val>
            <c:numRef>
              <c:f>Loading!$B$76:$B$87</c:f>
              <c:numCache/>
            </c:numRef>
          </c:val>
        </c:ser>
        <c:ser>
          <c:idx val="1"/>
          <c:order val="1"/>
          <c:tx>
            <c:strRef>
              <c:f>Loading!$C$74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Loading!$A$76:$A$87</c:f>
              <c:strCache/>
            </c:strRef>
          </c:cat>
          <c:val>
            <c:numRef>
              <c:f>Loading!$C$76:$C$87</c:f>
              <c:numCache/>
            </c:numRef>
          </c:val>
        </c:ser>
        <c:axId val="39911705"/>
        <c:axId val="23661026"/>
      </c:barChart>
      <c:catAx>
        <c:axId val="3991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3661026"/>
        <c:crosses val="autoZero"/>
        <c:auto val="1"/>
        <c:lblOffset val="100"/>
        <c:noMultiLvlLbl val="0"/>
      </c:catAx>
      <c:valAx>
        <c:axId val="236610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Suspended Solids (Pounds/Month)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911705"/>
        <c:crossesAt val="1"/>
        <c:crossBetween val="between"/>
        <c:dispUnits/>
        <c:minorUnit val="10000"/>
      </c:valAx>
      <c:spPr>
        <a:noFill/>
      </c:spPr>
    </c:plotArea>
    <c:legend>
      <c:legendPos val="r"/>
      <c:layout>
        <c:manualLayout>
          <c:xMode val="edge"/>
          <c:yMode val="edge"/>
          <c:x val="0.736"/>
          <c:y val="0.3485"/>
          <c:w val="0.21375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2002 Chatfield Watershed 
Nitrate-Nitrogen Trends</a:t>
            </a:r>
          </a:p>
        </c:rich>
      </c:tx>
      <c:layout>
        <c:manualLayout>
          <c:xMode val="factor"/>
          <c:yMode val="factor"/>
          <c:x val="0.0287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8525"/>
          <c:w val="0.89475"/>
          <c:h val="0.78025"/>
        </c:manualLayout>
      </c:layout>
      <c:lineChart>
        <c:grouping val="standard"/>
        <c:varyColors val="0"/>
        <c:ser>
          <c:idx val="1"/>
          <c:order val="0"/>
          <c:tx>
            <c:strRef>
              <c:f>Nutrient!$A$64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Nutrient!$A$87:$A$98</c:f>
              <c:strCache/>
            </c:strRef>
          </c:cat>
          <c:val>
            <c:numRef>
              <c:f>Nutrient!$B$68:$B$79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Nutrient!$A$83</c:f>
              <c:strCache>
                <c:ptCount val="1"/>
                <c:pt idx="0">
                  <c:v>Plum Creek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Nutrient!$A$87:$A$98</c:f>
              <c:strCache/>
            </c:strRef>
          </c:cat>
          <c:val>
            <c:numRef>
              <c:f>Nutrient!$B$87:$B$98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Nutrient!$A$105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Nutrient!$B$109:$B$120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1468069"/>
        <c:axId val="36103758"/>
      </c:lineChart>
      <c:catAx>
        <c:axId val="1146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36103758"/>
        <c:crosses val="autoZero"/>
        <c:auto val="1"/>
        <c:lblOffset val="100"/>
        <c:noMultiLvlLbl val="0"/>
      </c:catAx>
      <c:valAx>
        <c:axId val="361037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NO3 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146806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8525"/>
          <c:y val="0.34925"/>
          <c:w val="0.391"/>
          <c:h val="0.2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2002 Chatfield Resrvoir 
Total Suspended Sediments [Pounds/Year]</a:t>
            </a:r>
          </a:p>
        </c:rich>
      </c:tx>
      <c:layout>
        <c:manualLayout>
          <c:xMode val="factor"/>
          <c:yMode val="factor"/>
          <c:x val="-0.0055"/>
          <c:y val="-0.00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25"/>
          <c:y val="0.22425"/>
          <c:w val="0.87775"/>
          <c:h val="0.56425"/>
        </c:manualLayout>
      </c:layout>
      <c:pie3DChart>
        <c:varyColors val="1"/>
        <c:ser>
          <c:idx val="0"/>
          <c:order val="0"/>
          <c:tx>
            <c:strRef>
              <c:f>Loading!$A$74</c:f>
              <c:strCache>
                <c:ptCount val="1"/>
                <c:pt idx="0">
                  <c:v>TSS</c:v>
                </c:pt>
              </c:strCache>
            </c:strRef>
          </c:tx>
          <c:spPr>
            <a:solidFill>
              <a:srgbClr val="CCFFCC"/>
            </a:solidFill>
          </c:spPr>
          <c:explosion val="5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explosion val="14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Loading!$B$74:$C$74</c:f>
              <c:strCache/>
            </c:strRef>
          </c:cat>
          <c:val>
            <c:numRef>
              <c:f>Loading!$B$88:$C$88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2002 Chatfield Reservoir
 Total Nitrate Loading [Pounds/Year]
2002 Total Loading 30,128 Pounds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25"/>
          <c:y val="0.3095"/>
          <c:w val="0.74875"/>
          <c:h val="0.55525"/>
        </c:manualLayout>
      </c:layout>
      <c:pie3DChart>
        <c:varyColors val="1"/>
        <c:ser>
          <c:idx val="0"/>
          <c:order val="0"/>
          <c:tx>
            <c:strRef>
              <c:f>Loading!$H$15</c:f>
              <c:strCache>
                <c:ptCount val="1"/>
                <c:pt idx="0">
                  <c:v>2002 Chatfield Reservoir</c:v>
                </c:pt>
              </c:strCache>
            </c:strRef>
          </c:tx>
          <c:spPr>
            <a:solidFill>
              <a:srgbClr val="CCFFFF"/>
            </a:solidFill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Loading!$B$2:$C$2</c:f>
              <c:strCache/>
            </c:strRef>
          </c:cat>
          <c:val>
            <c:numRef>
              <c:f>Loading!$B$15:$C$15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2002 Chatfield Reservoir 
Total Phosphorus loading [Pounds/Year]
2002 Total Loading 2,089 Pounds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29875"/>
          <c:w val="0.80175"/>
          <c:h val="0.48125"/>
        </c:manualLayout>
      </c:layout>
      <c:pie3DChart>
        <c:varyColors val="1"/>
        <c:ser>
          <c:idx val="0"/>
          <c:order val="0"/>
          <c:tx>
            <c:strRef>
              <c:f>Loading!$A$37</c:f>
              <c:strCache>
                <c:ptCount val="1"/>
                <c:pt idx="0">
                  <c:v>2002 Total Phosphorus loading</c:v>
                </c:pt>
              </c:strCache>
            </c:strRef>
          </c:tx>
          <c:spPr>
            <a:solidFill>
              <a:srgbClr val="00FF00"/>
            </a:solidFill>
          </c:spPr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6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Loading!$B$38:$C$38</c:f>
              <c:strCache/>
            </c:strRef>
          </c:cat>
          <c:val>
            <c:numRef>
              <c:f>Loading!$B$51:$C$51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Total Maximum Annual Load
 Total Phosphorus Target in Chatfield Reservoir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375"/>
          <c:w val="0.9245"/>
          <c:h val="0.80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Models!$A$22</c:f>
              <c:strCache>
                <c:ptCount val="1"/>
                <c:pt idx="0">
                  <c:v>TMAL Target 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Models!$B$24:$B$32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Models!$C$24:$C$32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Models!$D$23</c:f>
              <c:strCache>
                <c:ptCount val="1"/>
                <c:pt idx="0">
                  <c:v>Upper 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Models!$B$24:$B$32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Models!$D$24:$D$32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Models!$A$57</c:f>
              <c:strCache>
                <c:ptCount val="1"/>
                <c:pt idx="0">
                  <c:v>Annual TMAL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11"/>
              <c:spPr>
                <a:solidFill>
                  <a:srgbClr val="FFFF00"/>
                </a:solidFill>
                <a:ln>
                  <a:solidFill>
                    <a:srgbClr val="FF99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Models!$B$65:$B$76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Models!$C$65:$C$76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11622643"/>
        <c:axId val="37494924"/>
      </c:scatterChart>
      <c:valAx>
        <c:axId val="11622643"/>
        <c:scaling>
          <c:orientation val="minMax"/>
          <c:max val="4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Reservoir Flow Through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7494924"/>
        <c:crosses val="autoZero"/>
        <c:crossBetween val="midCat"/>
        <c:dispUnits/>
        <c:majorUnit val="50000"/>
        <c:minorUnit val="5000"/>
      </c:valAx>
      <c:valAx>
        <c:axId val="374949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Total Phosphorus [Pounds]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22643"/>
        <c:crosses val="autoZero"/>
        <c:crossBetween val="midCat"/>
        <c:dispUnits/>
        <c:majorUnit val="25000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25"/>
          <c:y val="0.1985"/>
          <c:w val="0.243"/>
          <c:h val="0.20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Chatfield Reservoir
 Estimated Total  Inflow Volume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2125"/>
          <c:w val="0.9312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Models!$B$57:$B$59</c:f>
              <c:strCache>
                <c:ptCount val="1"/>
                <c:pt idx="0">
                  <c:v>Total  Volume acre-ft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cat>
            <c:numRef>
              <c:f>Models!$A$60:$A$76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Models!$B$60:$B$76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909997"/>
        <c:axId val="17189974"/>
      </c:barChart>
      <c:catAx>
        <c:axId val="1909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7189974"/>
        <c:crosses val="autoZero"/>
        <c:auto val="1"/>
        <c:lblOffset val="100"/>
        <c:noMultiLvlLbl val="0"/>
      </c:catAx>
      <c:valAx>
        <c:axId val="17189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Inflow Volume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99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2002 Chatfield Reservoir 
Average Nitrate Trend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9425"/>
          <c:w val="0.8992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Nutrient!$A$124</c:f>
              <c:strCache>
                <c:ptCount val="1"/>
                <c:pt idx="0">
                  <c:v>Chatfield 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Nutrient!$A$126:$A$136</c:f>
              <c:strCache/>
            </c:strRef>
          </c:cat>
          <c:val>
            <c:numRef>
              <c:f>Nutrient!$B$126:$B$136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6498367"/>
        <c:axId val="38723256"/>
      </c:barChart>
      <c:catAx>
        <c:axId val="56498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8723256"/>
        <c:crosses val="autoZero"/>
        <c:auto val="1"/>
        <c:lblOffset val="100"/>
        <c:noMultiLvlLbl val="0"/>
      </c:catAx>
      <c:valAx>
        <c:axId val="38723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4983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2002 Chatfield Watershed 
Total Phosphorus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7775"/>
          <c:w val="0.926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Nutrient!$A$64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Nutrient!$A$87:$A$98</c:f>
              <c:strCache/>
            </c:strRef>
          </c:cat>
          <c:val>
            <c:numRef>
              <c:f>Nutrient!$H$68:$H$79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Nutrient!$A$83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Nutrient!$A$87:$A$98</c:f>
              <c:strCache/>
            </c:strRef>
          </c:cat>
          <c:val>
            <c:numRef>
              <c:f>Nutrient!$H$87:$H$98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Nutrient!$A$105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Nutrient!$H$109:$H$120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964985"/>
        <c:axId val="49576002"/>
      </c:lineChart>
      <c:catAx>
        <c:axId val="129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49576002"/>
        <c:crosses val="autoZero"/>
        <c:auto val="1"/>
        <c:lblOffset val="100"/>
        <c:noMultiLvlLbl val="0"/>
      </c:catAx>
      <c:valAx>
        <c:axId val="495760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Total Phosphorus (mg/L)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1296498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395"/>
          <c:y val="0.28825"/>
          <c:w val="0.34125"/>
          <c:h val="0.1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2002 Chatfield Reservoir 
Average Total Phosphorus Trend</a:t>
            </a:r>
          </a:p>
        </c:rich>
      </c:tx>
      <c:layout>
        <c:manualLayout>
          <c:xMode val="factor"/>
          <c:yMode val="factor"/>
          <c:x val="0.00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99"/>
          <c:w val="0.90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Nutrient!$D$125</c:f>
              <c:strCache>
                <c:ptCount val="1"/>
                <c:pt idx="0">
                  <c:v>Total Phosphorus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Nutrient!$A$126:$A$136</c:f>
              <c:strCache/>
            </c:strRef>
          </c:cat>
          <c:val>
            <c:numRef>
              <c:f>Nutrient!$D$126:$D$136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3530835"/>
        <c:axId val="56233196"/>
      </c:barChart>
      <c:catAx>
        <c:axId val="43530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6233196"/>
        <c:crosses val="autoZero"/>
        <c:auto val="1"/>
        <c:lblOffset val="100"/>
        <c:noMultiLvlLbl val="0"/>
      </c:catAx>
      <c:valAx>
        <c:axId val="56233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35308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2002 Chatfield Watershed 
Total Suspended Sediment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75"/>
          <c:w val="0.896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Nutrient!$A$64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Nutrient!$A$87:$A$98</c:f>
              <c:strCache/>
            </c:strRef>
          </c:cat>
          <c:val>
            <c:numRef>
              <c:f>Nutrient!$I$68:$I$79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Nutrient!$A$105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Nutrient!$A$87:$A$98</c:f>
              <c:strCache/>
            </c:strRef>
          </c:cat>
          <c:val>
            <c:numRef>
              <c:f>Nutrient!$I$109:$I$120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Nutrient!$A$83</c:f>
              <c:strCache>
                <c:ptCount val="1"/>
                <c:pt idx="0">
                  <c:v>Plum Creek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Nutrient!$I$87:$I$98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6336717"/>
        <c:axId val="58594998"/>
      </c:lineChart>
      <c:catAx>
        <c:axId val="3633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8594998"/>
        <c:crosses val="autoZero"/>
        <c:auto val="1"/>
        <c:lblOffset val="100"/>
        <c:noMultiLvlLbl val="0"/>
      </c:catAx>
      <c:valAx>
        <c:axId val="5859499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TSS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6336717"/>
        <c:crossesAt val="1"/>
        <c:crossBetween val="between"/>
        <c:dispUnits/>
        <c:majorUnit val="10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6525"/>
          <c:y val="0.32125"/>
          <c:w val="0.3215"/>
          <c:h val="0.20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2002 Chatfield Reservoir 
Total Suspended Sediment Trend</a:t>
            </a:r>
          </a:p>
        </c:rich>
      </c:tx>
      <c:layout>
        <c:manualLayout>
          <c:xMode val="factor"/>
          <c:yMode val="factor"/>
          <c:x val="0.016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1"/>
          <c:w val="0.911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Nutrient!$A$124</c:f>
              <c:strCache>
                <c:ptCount val="1"/>
                <c:pt idx="0">
                  <c:v>Chatfield 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Nutrient!$A$126:$A$136</c:f>
              <c:strCache/>
            </c:strRef>
          </c:cat>
          <c:val>
            <c:numRef>
              <c:f>Nutrient!$E$126:$E$136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7592935"/>
        <c:axId val="48574368"/>
      </c:barChart>
      <c:catAx>
        <c:axId val="57592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574368"/>
        <c:crosses val="autoZero"/>
        <c:auto val="1"/>
        <c:lblOffset val="100"/>
        <c:noMultiLvlLbl val="0"/>
      </c:catAx>
      <c:valAx>
        <c:axId val="48574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TSS (g/m3)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5929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2002 Flow Estimates Chatfield Watershed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13"/>
          <c:w val="0.766"/>
          <c:h val="0.52575"/>
        </c:manualLayout>
      </c:layout>
      <c:pie3DChart>
        <c:varyColors val="1"/>
        <c:ser>
          <c:idx val="0"/>
          <c:order val="0"/>
          <c:tx>
            <c:strRef>
              <c:f>'2002 Flow'!$E$13:$J$13</c:f>
              <c:strCache>
                <c:ptCount val="1"/>
                <c:pt idx="0">
                  <c:v>2002 Flow Estimates Chatfield Watershed</c:v>
                </c:pt>
              </c:strCache>
            </c:strRef>
          </c:tx>
          <c:spPr>
            <a:solidFill>
              <a:srgbClr val="CCFFCC"/>
            </a:solidFill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'2002 Flow'!$F$15:$G$16</c:f>
              <c:multiLvlStrCache/>
            </c:multiLvlStrRef>
          </c:cat>
          <c:val>
            <c:numRef>
              <c:f>'2002 Flow'!$F$30:$G$30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5"/>
          <c:y val="0.869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
1988-2002 Walker's Annual Trophic Prediction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47"/>
          <c:w val="0.93"/>
          <c:h val="0.758"/>
        </c:manualLayout>
      </c:layout>
      <c:lineChart>
        <c:grouping val="standard"/>
        <c:varyColors val="0"/>
        <c:ser>
          <c:idx val="0"/>
          <c:order val="0"/>
          <c:tx>
            <c:v>Walker TSI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'2002 Walker-carlson'!$P$2:$AB$2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'2002 Walker-carlson'!$P$12:$AB$12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34516129"/>
        <c:axId val="42209706"/>
      </c:lineChart>
      <c:catAx>
        <c:axId val="3451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09706"/>
        <c:crosses val="autoZero"/>
        <c:auto val="1"/>
        <c:lblOffset val="100"/>
        <c:noMultiLvlLbl val="0"/>
      </c:catAx>
      <c:valAx>
        <c:axId val="42209706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4516129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</cdr:x>
      <cdr:y>0.7935</cdr:y>
    </cdr:from>
    <cdr:to>
      <cdr:x>0.617</cdr:x>
      <cdr:y>0.858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2886075"/>
          <a:ext cx="88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Clearer Water</a:t>
          </a:r>
        </a:p>
      </cdr:txBody>
    </cdr:sp>
  </cdr:relSizeAnchor>
  <cdr:relSizeAnchor xmlns:cdr="http://schemas.openxmlformats.org/drawingml/2006/chartDrawing">
    <cdr:from>
      <cdr:x>0.531</cdr:x>
      <cdr:y>0.6195</cdr:y>
    </cdr:from>
    <cdr:to>
      <cdr:x>0.531</cdr:x>
      <cdr:y>0.7935</cdr:y>
    </cdr:to>
    <cdr:sp>
      <cdr:nvSpPr>
        <cdr:cNvPr id="2" name="Line 2"/>
        <cdr:cNvSpPr>
          <a:spLocks/>
        </cdr:cNvSpPr>
      </cdr:nvSpPr>
      <cdr:spPr>
        <a:xfrm>
          <a:off x="3114675" y="22479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32</xdr:row>
      <xdr:rowOff>0</xdr:rowOff>
    </xdr:from>
    <xdr:to>
      <xdr:col>8</xdr:col>
      <xdr:colOff>438150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1495425" y="5181600"/>
        <a:ext cx="63150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59</xdr:row>
      <xdr:rowOff>85725</xdr:rowOff>
    </xdr:from>
    <xdr:to>
      <xdr:col>11</xdr:col>
      <xdr:colOff>447675</xdr:colOff>
      <xdr:row>72</xdr:row>
      <xdr:rowOff>38100</xdr:rowOff>
    </xdr:to>
    <xdr:graphicFrame>
      <xdr:nvGraphicFramePr>
        <xdr:cNvPr id="2" name="Chart 2"/>
        <xdr:cNvGraphicFramePr/>
      </xdr:nvGraphicFramePr>
      <xdr:xfrm>
        <a:off x="3905250" y="9639300"/>
        <a:ext cx="57435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11</xdr:row>
      <xdr:rowOff>38100</xdr:rowOff>
    </xdr:from>
    <xdr:to>
      <xdr:col>13</xdr:col>
      <xdr:colOff>542925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2943225" y="1819275"/>
        <a:ext cx="58769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714375</xdr:colOff>
      <xdr:row>15</xdr:row>
      <xdr:rowOff>28575</xdr:rowOff>
    </xdr:to>
    <xdr:graphicFrame>
      <xdr:nvGraphicFramePr>
        <xdr:cNvPr id="1" name="Chart 2"/>
        <xdr:cNvGraphicFramePr/>
      </xdr:nvGraphicFramePr>
      <xdr:xfrm>
        <a:off x="47625" y="161925"/>
        <a:ext cx="4057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</xdr:row>
      <xdr:rowOff>47625</xdr:rowOff>
    </xdr:from>
    <xdr:to>
      <xdr:col>12</xdr:col>
      <xdr:colOff>9525</xdr:colOff>
      <xdr:row>15</xdr:row>
      <xdr:rowOff>76200</xdr:rowOff>
    </xdr:to>
    <xdr:graphicFrame>
      <xdr:nvGraphicFramePr>
        <xdr:cNvPr id="2" name="Chart 3"/>
        <xdr:cNvGraphicFramePr/>
      </xdr:nvGraphicFramePr>
      <xdr:xfrm>
        <a:off x="4819650" y="209550"/>
        <a:ext cx="45720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16</xdr:row>
      <xdr:rowOff>133350</xdr:rowOff>
    </xdr:from>
    <xdr:to>
      <xdr:col>5</xdr:col>
      <xdr:colOff>9525</xdr:colOff>
      <xdr:row>31</xdr:row>
      <xdr:rowOff>38100</xdr:rowOff>
    </xdr:to>
    <xdr:graphicFrame>
      <xdr:nvGraphicFramePr>
        <xdr:cNvPr id="3" name="Chart 4"/>
        <xdr:cNvGraphicFramePr/>
      </xdr:nvGraphicFramePr>
      <xdr:xfrm>
        <a:off x="38100" y="2724150"/>
        <a:ext cx="407670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647700</xdr:colOff>
      <xdr:row>16</xdr:row>
      <xdr:rowOff>66675</xdr:rowOff>
    </xdr:from>
    <xdr:to>
      <xdr:col>12</xdr:col>
      <xdr:colOff>0</xdr:colOff>
      <xdr:row>30</xdr:row>
      <xdr:rowOff>142875</xdr:rowOff>
    </xdr:to>
    <xdr:graphicFrame>
      <xdr:nvGraphicFramePr>
        <xdr:cNvPr id="4" name="Chart 5"/>
        <xdr:cNvGraphicFramePr/>
      </xdr:nvGraphicFramePr>
      <xdr:xfrm>
        <a:off x="4752975" y="2657475"/>
        <a:ext cx="462915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33</xdr:row>
      <xdr:rowOff>133350</xdr:rowOff>
    </xdr:from>
    <xdr:to>
      <xdr:col>5</xdr:col>
      <xdr:colOff>19050</xdr:colOff>
      <xdr:row>47</xdr:row>
      <xdr:rowOff>57150</xdr:rowOff>
    </xdr:to>
    <xdr:graphicFrame>
      <xdr:nvGraphicFramePr>
        <xdr:cNvPr id="5" name="Chart 7"/>
        <xdr:cNvGraphicFramePr/>
      </xdr:nvGraphicFramePr>
      <xdr:xfrm>
        <a:off x="9525" y="5476875"/>
        <a:ext cx="4114800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419100</xdr:colOff>
      <xdr:row>34</xdr:row>
      <xdr:rowOff>19050</xdr:rowOff>
    </xdr:from>
    <xdr:to>
      <xdr:col>11</xdr:col>
      <xdr:colOff>438150</xdr:colOff>
      <xdr:row>47</xdr:row>
      <xdr:rowOff>19050</xdr:rowOff>
    </xdr:to>
    <xdr:graphicFrame>
      <xdr:nvGraphicFramePr>
        <xdr:cNvPr id="6" name="Chart 8"/>
        <xdr:cNvGraphicFramePr/>
      </xdr:nvGraphicFramePr>
      <xdr:xfrm>
        <a:off x="4524375" y="5524500"/>
        <a:ext cx="46863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33</xdr:row>
      <xdr:rowOff>0</xdr:rowOff>
    </xdr:from>
    <xdr:to>
      <xdr:col>10</xdr:col>
      <xdr:colOff>19050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2428875" y="5724525"/>
        <a:ext cx="45910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37</xdr:row>
      <xdr:rowOff>38100</xdr:rowOff>
    </xdr:from>
    <xdr:to>
      <xdr:col>24</xdr:col>
      <xdr:colOff>361950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10753725" y="6029325"/>
        <a:ext cx="47625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51</xdr:row>
      <xdr:rowOff>19050</xdr:rowOff>
    </xdr:from>
    <xdr:to>
      <xdr:col>25</xdr:col>
      <xdr:colOff>561975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10887075" y="8277225"/>
        <a:ext cx="54387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49</xdr:row>
      <xdr:rowOff>76200</xdr:rowOff>
    </xdr:from>
    <xdr:to>
      <xdr:col>9</xdr:col>
      <xdr:colOff>19050</xdr:colOff>
      <xdr:row>68</xdr:row>
      <xdr:rowOff>0</xdr:rowOff>
    </xdr:to>
    <xdr:graphicFrame>
      <xdr:nvGraphicFramePr>
        <xdr:cNvPr id="3" name="Chart 4"/>
        <xdr:cNvGraphicFramePr/>
      </xdr:nvGraphicFramePr>
      <xdr:xfrm>
        <a:off x="647700" y="8010525"/>
        <a:ext cx="53816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0.2255</cdr:x>
      <cdr:y>0.801</cdr:y>
    </cdr:from>
    <cdr:to>
      <cdr:x>0.504</cdr:x>
      <cdr:y>0.89775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2257425"/>
          <a:ext cx="1152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Very Clear Water</a:t>
          </a:r>
        </a:p>
      </cdr:txBody>
    </cdr:sp>
  </cdr:relSizeAnchor>
  <cdr:relSizeAnchor xmlns:cdr="http://schemas.openxmlformats.org/drawingml/2006/chartDrawing">
    <cdr:from>
      <cdr:x>0.358</cdr:x>
      <cdr:y>0.59475</cdr:y>
    </cdr:from>
    <cdr:to>
      <cdr:x>0.358</cdr:x>
      <cdr:y>0.778</cdr:y>
    </cdr:to>
    <cdr:sp>
      <cdr:nvSpPr>
        <cdr:cNvPr id="2" name="Line 2"/>
        <cdr:cNvSpPr>
          <a:spLocks/>
        </cdr:cNvSpPr>
      </cdr:nvSpPr>
      <cdr:spPr>
        <a:xfrm flipH="1">
          <a:off x="1476375" y="1676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0.6495</cdr:x>
      <cdr:y>0.19125</cdr:y>
    </cdr:from>
    <cdr:to>
      <cdr:x>0.90075</cdr:x>
      <cdr:y>0.288</cdr:y>
    </cdr:to>
    <cdr:sp>
      <cdr:nvSpPr>
        <cdr:cNvPr id="3" name="TextBox 3"/>
        <cdr:cNvSpPr txBox="1">
          <a:spLocks noChangeArrowheads="1"/>
        </cdr:cNvSpPr>
      </cdr:nvSpPr>
      <cdr:spPr>
        <a:xfrm>
          <a:off x="2676525" y="533400"/>
          <a:ext cx="1038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Murky Water</a:t>
          </a:r>
        </a:p>
      </cdr:txBody>
    </cdr:sp>
  </cdr:relSizeAnchor>
  <cdr:relSizeAnchor xmlns:cdr="http://schemas.openxmlformats.org/drawingml/2006/chartDrawing">
    <cdr:from>
      <cdr:x>0.73675</cdr:x>
      <cdr:y>0.277</cdr:y>
    </cdr:from>
    <cdr:to>
      <cdr:x>0.73675</cdr:x>
      <cdr:y>0.38925</cdr:y>
    </cdr:to>
    <cdr:sp>
      <cdr:nvSpPr>
        <cdr:cNvPr id="4" name="Line 4"/>
        <cdr:cNvSpPr>
          <a:spLocks/>
        </cdr:cNvSpPr>
      </cdr:nvSpPr>
      <cdr:spPr>
        <a:xfrm flipV="1">
          <a:off x="3038475" y="7810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0.6495</cdr:x>
      <cdr:y>0.69625</cdr:y>
    </cdr:from>
    <cdr:to>
      <cdr:x>0.932</cdr:x>
      <cdr:y>0.778</cdr:y>
    </cdr:to>
    <cdr:sp>
      <cdr:nvSpPr>
        <cdr:cNvPr id="5" name="TextBox 5"/>
        <cdr:cNvSpPr txBox="1">
          <a:spLocks noChangeArrowheads="1"/>
        </cdr:cNvSpPr>
      </cdr:nvSpPr>
      <cdr:spPr>
        <a:xfrm>
          <a:off x="2676525" y="1962150"/>
          <a:ext cx="1171575" cy="228600"/>
        </a:xfrm>
        <a:prstGeom prst="rect">
          <a:avLst/>
        </a:prstGeom>
        <a:noFill/>
        <a:ln w="34925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No Trend In 2002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142875</xdr:rowOff>
    </xdr:from>
    <xdr:to>
      <xdr:col>11</xdr:col>
      <xdr:colOff>600075</xdr:colOff>
      <xdr:row>12</xdr:row>
      <xdr:rowOff>28575</xdr:rowOff>
    </xdr:to>
    <xdr:graphicFrame>
      <xdr:nvGraphicFramePr>
        <xdr:cNvPr id="1" name="Chart 1"/>
        <xdr:cNvGraphicFramePr/>
      </xdr:nvGraphicFramePr>
      <xdr:xfrm>
        <a:off x="3457575" y="142875"/>
        <a:ext cx="42386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14</xdr:row>
      <xdr:rowOff>38100</xdr:rowOff>
    </xdr:from>
    <xdr:to>
      <xdr:col>11</xdr:col>
      <xdr:colOff>600075</xdr:colOff>
      <xdr:row>31</xdr:row>
      <xdr:rowOff>57150</xdr:rowOff>
    </xdr:to>
    <xdr:graphicFrame>
      <xdr:nvGraphicFramePr>
        <xdr:cNvPr id="2" name="Chart 2"/>
        <xdr:cNvGraphicFramePr/>
      </xdr:nvGraphicFramePr>
      <xdr:xfrm>
        <a:off x="3028950" y="2876550"/>
        <a:ext cx="46672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171450</xdr:colOff>
      <xdr:row>16</xdr:row>
      <xdr:rowOff>28575</xdr:rowOff>
    </xdr:from>
    <xdr:to>
      <xdr:col>18</xdr:col>
      <xdr:colOff>542925</xdr:colOff>
      <xdr:row>32</xdr:row>
      <xdr:rowOff>9525</xdr:rowOff>
    </xdr:to>
    <xdr:graphicFrame>
      <xdr:nvGraphicFramePr>
        <xdr:cNvPr id="3" name="Chart 4"/>
        <xdr:cNvGraphicFramePr/>
      </xdr:nvGraphicFramePr>
      <xdr:xfrm>
        <a:off x="7877175" y="3190875"/>
        <a:ext cx="40290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142875</xdr:colOff>
      <xdr:row>0</xdr:row>
      <xdr:rowOff>142875</xdr:rowOff>
    </xdr:from>
    <xdr:to>
      <xdr:col>19</xdr:col>
      <xdr:colOff>9525</xdr:colOff>
      <xdr:row>14</xdr:row>
      <xdr:rowOff>133350</xdr:rowOff>
    </xdr:to>
    <xdr:graphicFrame>
      <xdr:nvGraphicFramePr>
        <xdr:cNvPr id="4" name="Chart 5"/>
        <xdr:cNvGraphicFramePr/>
      </xdr:nvGraphicFramePr>
      <xdr:xfrm>
        <a:off x="7848600" y="142875"/>
        <a:ext cx="41338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323850</xdr:colOff>
      <xdr:row>41</xdr:row>
      <xdr:rowOff>57150</xdr:rowOff>
    </xdr:from>
    <xdr:to>
      <xdr:col>13</xdr:col>
      <xdr:colOff>447675</xdr:colOff>
      <xdr:row>58</xdr:row>
      <xdr:rowOff>38100</xdr:rowOff>
    </xdr:to>
    <xdr:graphicFrame>
      <xdr:nvGraphicFramePr>
        <xdr:cNvPr id="5" name="Chart 6"/>
        <xdr:cNvGraphicFramePr/>
      </xdr:nvGraphicFramePr>
      <xdr:xfrm>
        <a:off x="3762375" y="7315200"/>
        <a:ext cx="50006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114300</xdr:rowOff>
    </xdr:from>
    <xdr:to>
      <xdr:col>6</xdr:col>
      <xdr:colOff>400050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581275"/>
        <a:ext cx="4695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53</xdr:row>
      <xdr:rowOff>9525</xdr:rowOff>
    </xdr:from>
    <xdr:to>
      <xdr:col>6</xdr:col>
      <xdr:colOff>733425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371475" y="8667750"/>
        <a:ext cx="49720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90</xdr:row>
      <xdr:rowOff>123825</xdr:rowOff>
    </xdr:from>
    <xdr:to>
      <xdr:col>6</xdr:col>
      <xdr:colOff>723900</xdr:colOff>
      <xdr:row>109</xdr:row>
      <xdr:rowOff>57150</xdr:rowOff>
    </xdr:to>
    <xdr:graphicFrame>
      <xdr:nvGraphicFramePr>
        <xdr:cNvPr id="3" name="Chart 4"/>
        <xdr:cNvGraphicFramePr/>
      </xdr:nvGraphicFramePr>
      <xdr:xfrm>
        <a:off x="304800" y="14744700"/>
        <a:ext cx="50292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161925</xdr:colOff>
      <xdr:row>91</xdr:row>
      <xdr:rowOff>47625</xdr:rowOff>
    </xdr:from>
    <xdr:to>
      <xdr:col>14</xdr:col>
      <xdr:colOff>38100</xdr:colOff>
      <xdr:row>107</xdr:row>
      <xdr:rowOff>28575</xdr:rowOff>
    </xdr:to>
    <xdr:graphicFrame>
      <xdr:nvGraphicFramePr>
        <xdr:cNvPr id="4" name="Chart 9"/>
        <xdr:cNvGraphicFramePr/>
      </xdr:nvGraphicFramePr>
      <xdr:xfrm>
        <a:off x="5534025" y="14830425"/>
        <a:ext cx="42576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714375</xdr:colOff>
      <xdr:row>16</xdr:row>
      <xdr:rowOff>95250</xdr:rowOff>
    </xdr:from>
    <xdr:to>
      <xdr:col>12</xdr:col>
      <xdr:colOff>552450</xdr:colOff>
      <xdr:row>29</xdr:row>
      <xdr:rowOff>47625</xdr:rowOff>
    </xdr:to>
    <xdr:graphicFrame>
      <xdr:nvGraphicFramePr>
        <xdr:cNvPr id="5" name="Chart 10"/>
        <xdr:cNvGraphicFramePr/>
      </xdr:nvGraphicFramePr>
      <xdr:xfrm>
        <a:off x="5324475" y="2724150"/>
        <a:ext cx="3762375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53</xdr:row>
      <xdr:rowOff>133350</xdr:rowOff>
    </xdr:from>
    <xdr:to>
      <xdr:col>13</xdr:col>
      <xdr:colOff>123825</xdr:colOff>
      <xdr:row>68</xdr:row>
      <xdr:rowOff>95250</xdr:rowOff>
    </xdr:to>
    <xdr:graphicFrame>
      <xdr:nvGraphicFramePr>
        <xdr:cNvPr id="6" name="Chart 11"/>
        <xdr:cNvGraphicFramePr/>
      </xdr:nvGraphicFramePr>
      <xdr:xfrm>
        <a:off x="5543550" y="8791575"/>
        <a:ext cx="3724275" cy="238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0.54625</cdr:x>
      <cdr:y>0.6405</cdr:y>
    </cdr:from>
    <cdr:to>
      <cdr:x>0.62775</cdr:x>
      <cdr:y>0.68175</cdr:y>
    </cdr:to>
    <cdr:sp>
      <cdr:nvSpPr>
        <cdr:cNvPr id="1" name="TextBox 2"/>
        <cdr:cNvSpPr txBox="1">
          <a:spLocks noChangeArrowheads="1"/>
        </cdr:cNvSpPr>
      </cdr:nvSpPr>
      <cdr:spPr>
        <a:xfrm flipH="1">
          <a:off x="3448050" y="250507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1999</a:t>
          </a:r>
        </a:p>
      </cdr:txBody>
    </cdr:sp>
  </cdr:relSizeAnchor>
  <cdr:relSizeAnchor xmlns:cdr="http://schemas.openxmlformats.org/drawingml/2006/chartDrawing">
    <cdr:from>
      <cdr:x>0.35</cdr:x>
      <cdr:y>0.7995</cdr:y>
    </cdr:from>
    <cdr:to>
      <cdr:x>0.40425</cdr:x>
      <cdr:y>0.84275</cdr:y>
    </cdr:to>
    <cdr:sp>
      <cdr:nvSpPr>
        <cdr:cNvPr id="2" name="TextBox 3"/>
        <cdr:cNvSpPr txBox="1">
          <a:spLocks noChangeArrowheads="1"/>
        </cdr:cNvSpPr>
      </cdr:nvSpPr>
      <cdr:spPr>
        <a:xfrm>
          <a:off x="2209800" y="313372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2000</a:t>
          </a:r>
        </a:p>
      </cdr:txBody>
    </cdr:sp>
  </cdr:relSizeAnchor>
  <cdr:relSizeAnchor xmlns:cdr="http://schemas.openxmlformats.org/drawingml/2006/chartDrawing">
    <cdr:from>
      <cdr:x>0.76325</cdr:x>
      <cdr:y>0.49175</cdr:y>
    </cdr:from>
    <cdr:to>
      <cdr:x>0.821</cdr:x>
      <cdr:y>0.54175</cdr:y>
    </cdr:to>
    <cdr:sp>
      <cdr:nvSpPr>
        <cdr:cNvPr id="3" name="TextBox 4"/>
        <cdr:cNvSpPr txBox="1">
          <a:spLocks noChangeArrowheads="1"/>
        </cdr:cNvSpPr>
      </cdr:nvSpPr>
      <cdr:spPr>
        <a:xfrm>
          <a:off x="4819650" y="1924050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1995</a:t>
          </a:r>
        </a:p>
      </cdr:txBody>
    </cdr:sp>
  </cdr:relSizeAnchor>
  <cdr:relSizeAnchor xmlns:cdr="http://schemas.openxmlformats.org/drawingml/2006/chartDrawing">
    <cdr:from>
      <cdr:x>0.6565</cdr:x>
      <cdr:y>0.664</cdr:y>
    </cdr:from>
    <cdr:to>
      <cdr:x>0.70575</cdr:x>
      <cdr:y>0.71125</cdr:y>
    </cdr:to>
    <cdr:sp>
      <cdr:nvSpPr>
        <cdr:cNvPr id="4" name="TextBox 5"/>
        <cdr:cNvSpPr txBox="1">
          <a:spLocks noChangeArrowheads="1"/>
        </cdr:cNvSpPr>
      </cdr:nvSpPr>
      <cdr:spPr>
        <a:xfrm>
          <a:off x="4143375" y="2600325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1996</a:t>
          </a:r>
        </a:p>
      </cdr:txBody>
    </cdr:sp>
  </cdr:relSizeAnchor>
  <cdr:relSizeAnchor xmlns:cdr="http://schemas.openxmlformats.org/drawingml/2006/chartDrawing">
    <cdr:from>
      <cdr:x>0.73825</cdr:x>
      <cdr:y>0.689</cdr:y>
    </cdr:from>
    <cdr:to>
      <cdr:x>0.791</cdr:x>
      <cdr:y>0.73075</cdr:y>
    </cdr:to>
    <cdr:sp>
      <cdr:nvSpPr>
        <cdr:cNvPr id="5" name="TextBox 6"/>
        <cdr:cNvSpPr txBox="1">
          <a:spLocks noChangeArrowheads="1"/>
        </cdr:cNvSpPr>
      </cdr:nvSpPr>
      <cdr:spPr>
        <a:xfrm>
          <a:off x="4657725" y="269557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1997</a:t>
          </a:r>
        </a:p>
      </cdr:txBody>
    </cdr:sp>
  </cdr:relSizeAnchor>
  <cdr:relSizeAnchor xmlns:cdr="http://schemas.openxmlformats.org/drawingml/2006/chartDrawing">
    <cdr:from>
      <cdr:x>0.5355</cdr:x>
      <cdr:y>0.523</cdr:y>
    </cdr:from>
    <cdr:to>
      <cdr:x>0.6085</cdr:x>
      <cdr:y>0.57375</cdr:y>
    </cdr:to>
    <cdr:sp>
      <cdr:nvSpPr>
        <cdr:cNvPr id="6" name="TextBox 8"/>
        <cdr:cNvSpPr txBox="1">
          <a:spLocks noChangeArrowheads="1"/>
        </cdr:cNvSpPr>
      </cdr:nvSpPr>
      <cdr:spPr>
        <a:xfrm flipH="1" flipV="1">
          <a:off x="3381375" y="204787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1998</a:t>
          </a:r>
        </a:p>
      </cdr:txBody>
    </cdr:sp>
  </cdr:relSizeAnchor>
  <cdr:relSizeAnchor xmlns:cdr="http://schemas.openxmlformats.org/drawingml/2006/chartDrawing">
    <cdr:from>
      <cdr:x>0.2245</cdr:x>
      <cdr:y>0.753</cdr:y>
    </cdr:from>
    <cdr:to>
      <cdr:x>0.2885</cdr:x>
      <cdr:y>0.7995</cdr:y>
    </cdr:to>
    <cdr:sp>
      <cdr:nvSpPr>
        <cdr:cNvPr id="7" name="TextBox 10"/>
        <cdr:cNvSpPr txBox="1">
          <a:spLocks noChangeArrowheads="1"/>
        </cdr:cNvSpPr>
      </cdr:nvSpPr>
      <cdr:spPr>
        <a:xfrm>
          <a:off x="1409700" y="2952750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2001</a:t>
          </a:r>
        </a:p>
      </cdr:txBody>
    </cdr:sp>
  </cdr:relSizeAnchor>
  <cdr:relSizeAnchor xmlns:cdr="http://schemas.openxmlformats.org/drawingml/2006/chartDrawing">
    <cdr:from>
      <cdr:x>0.14575</cdr:x>
      <cdr:y>0.7725</cdr:y>
    </cdr:from>
    <cdr:to>
      <cdr:x>0.19525</cdr:x>
      <cdr:y>0.826</cdr:y>
    </cdr:to>
    <cdr:sp>
      <cdr:nvSpPr>
        <cdr:cNvPr id="8" name="TextBox 16"/>
        <cdr:cNvSpPr txBox="1">
          <a:spLocks noChangeArrowheads="1"/>
        </cdr:cNvSpPr>
      </cdr:nvSpPr>
      <cdr:spPr>
        <a:xfrm>
          <a:off x="914400" y="3028950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2002</a:t>
          </a:r>
        </a:p>
      </cdr:txBody>
    </cdr:sp>
  </cdr:relSizeAnchor>
  <cdr:relSizeAnchor xmlns:cdr="http://schemas.openxmlformats.org/drawingml/2006/chartDrawing">
    <cdr:from>
      <cdr:x>0.743</cdr:x>
      <cdr:y>0.826</cdr:y>
    </cdr:from>
    <cdr:to>
      <cdr:x>0.791</cdr:x>
      <cdr:y>0.86775</cdr:y>
    </cdr:to>
    <cdr:sp>
      <cdr:nvSpPr>
        <cdr:cNvPr id="9" name="TextBox 17"/>
        <cdr:cNvSpPr txBox="1">
          <a:spLocks noChangeArrowheads="1"/>
        </cdr:cNvSpPr>
      </cdr:nvSpPr>
      <cdr:spPr>
        <a:xfrm>
          <a:off x="4686300" y="3238500"/>
          <a:ext cx="3048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1991</a:t>
          </a:r>
        </a:p>
      </cdr:txBody>
    </cdr:sp>
  </cdr:relSizeAnchor>
  <cdr:relSizeAnchor xmlns:cdr="http://schemas.openxmlformats.org/drawingml/2006/chartDrawing">
    <cdr:from>
      <cdr:x>0.63925</cdr:x>
      <cdr:y>0.78975</cdr:y>
    </cdr:from>
    <cdr:to>
      <cdr:x>0.68725</cdr:x>
      <cdr:y>0.84275</cdr:y>
    </cdr:to>
    <cdr:sp>
      <cdr:nvSpPr>
        <cdr:cNvPr id="10" name="TextBox 18"/>
        <cdr:cNvSpPr txBox="1">
          <a:spLocks noChangeArrowheads="1"/>
        </cdr:cNvSpPr>
      </cdr:nvSpPr>
      <cdr:spPr>
        <a:xfrm>
          <a:off x="4029075" y="309562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workbookViewId="0" topLeftCell="A1">
      <selection activeCell="E4" sqref="E4"/>
    </sheetView>
  </sheetViews>
  <sheetFormatPr defaultColWidth="9.140625" defaultRowHeight="12.75"/>
  <cols>
    <col min="3" max="3" width="14.421875" style="0" bestFit="1" customWidth="1"/>
  </cols>
  <sheetData>
    <row r="2" ht="12.75">
      <c r="B2" t="s">
        <v>164</v>
      </c>
    </row>
    <row r="3" spans="2:3" ht="12.75">
      <c r="B3" t="s">
        <v>162</v>
      </c>
      <c r="C3" t="s">
        <v>163</v>
      </c>
    </row>
    <row r="4" spans="2:3" ht="12.75">
      <c r="B4">
        <v>1988</v>
      </c>
      <c r="C4">
        <v>4.2</v>
      </c>
    </row>
    <row r="5" spans="2:3" ht="12.75">
      <c r="B5">
        <v>1989</v>
      </c>
      <c r="C5">
        <v>6.3</v>
      </c>
    </row>
    <row r="6" spans="2:3" ht="12.75">
      <c r="B6">
        <v>1990</v>
      </c>
      <c r="C6">
        <v>6.3</v>
      </c>
    </row>
    <row r="7" spans="2:3" ht="12.75">
      <c r="B7">
        <v>1991</v>
      </c>
      <c r="C7">
        <v>6.5</v>
      </c>
    </row>
    <row r="8" spans="2:3" ht="12.75">
      <c r="B8">
        <v>1992</v>
      </c>
      <c r="C8">
        <v>4.7</v>
      </c>
    </row>
    <row r="9" spans="2:3" ht="12.75">
      <c r="B9">
        <v>1993</v>
      </c>
      <c r="C9">
        <v>5.6</v>
      </c>
    </row>
    <row r="10" spans="2:3" ht="12.75">
      <c r="B10">
        <v>1994</v>
      </c>
      <c r="C10">
        <v>5.8</v>
      </c>
    </row>
    <row r="11" spans="2:3" ht="12.75">
      <c r="B11">
        <v>1995</v>
      </c>
      <c r="C11">
        <v>5.8</v>
      </c>
    </row>
    <row r="12" spans="2:3" ht="12.75">
      <c r="B12">
        <v>1996</v>
      </c>
      <c r="C12">
        <v>4.5</v>
      </c>
    </row>
    <row r="13" spans="2:3" ht="12.75">
      <c r="B13">
        <v>1997</v>
      </c>
      <c r="C13">
        <v>10.8</v>
      </c>
    </row>
    <row r="14" spans="2:3" ht="12.75">
      <c r="B14">
        <v>1998</v>
      </c>
      <c r="C14">
        <v>8.4</v>
      </c>
    </row>
    <row r="15" spans="2:3" ht="12.75">
      <c r="B15">
        <v>1999</v>
      </c>
      <c r="C15">
        <v>6.1</v>
      </c>
    </row>
    <row r="16" spans="2:3" ht="12.75">
      <c r="B16">
        <v>2000</v>
      </c>
      <c r="C16">
        <v>8</v>
      </c>
    </row>
    <row r="17" spans="2:3" ht="12.75">
      <c r="B17">
        <v>2001</v>
      </c>
      <c r="C17">
        <v>6.9</v>
      </c>
    </row>
    <row r="18" spans="2:3" ht="12.75">
      <c r="B18">
        <v>2002</v>
      </c>
      <c r="C18">
        <v>6.7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3"/>
  <sheetViews>
    <sheetView workbookViewId="0" topLeftCell="A1">
      <selection activeCell="F40" sqref="F40"/>
    </sheetView>
  </sheetViews>
  <sheetFormatPr defaultColWidth="9.140625" defaultRowHeight="12.75"/>
  <cols>
    <col min="1" max="1" width="11.8515625" style="10" bestFit="1" customWidth="1"/>
    <col min="2" max="4" width="13.00390625" style="10" bestFit="1" customWidth="1"/>
    <col min="5" max="6" width="10.7109375" style="10" bestFit="1" customWidth="1"/>
    <col min="7" max="7" width="12.7109375" style="10" bestFit="1" customWidth="1"/>
    <col min="8" max="8" width="12.8515625" style="10" bestFit="1" customWidth="1"/>
    <col min="9" max="9" width="14.00390625" style="10" bestFit="1" customWidth="1"/>
    <col min="10" max="10" width="10.57421875" style="10" customWidth="1"/>
    <col min="11" max="14" width="9.140625" style="10" customWidth="1"/>
    <col min="15" max="15" width="12.00390625" style="10" customWidth="1"/>
    <col min="16" max="16384" width="9.140625" style="10" customWidth="1"/>
  </cols>
  <sheetData>
    <row r="1" spans="1:7" ht="12.75">
      <c r="A1" s="8"/>
      <c r="B1" s="9"/>
      <c r="C1" s="9"/>
      <c r="D1" s="9"/>
      <c r="E1" s="9"/>
      <c r="F1" s="221"/>
      <c r="G1" s="221"/>
    </row>
    <row r="4" spans="2:7" ht="12.75">
      <c r="B4" s="11"/>
      <c r="C4" s="11"/>
      <c r="D4" s="11"/>
      <c r="E4" s="11"/>
      <c r="F4" s="11"/>
      <c r="G4" s="11"/>
    </row>
    <row r="5" spans="2:7" ht="12.75">
      <c r="B5" s="11"/>
      <c r="C5" s="11"/>
      <c r="D5" s="11"/>
      <c r="E5" s="11"/>
      <c r="F5" s="11"/>
      <c r="G5" s="11"/>
    </row>
    <row r="6" spans="2:7" ht="12.75">
      <c r="B6" s="11"/>
      <c r="C6" s="11"/>
      <c r="D6" s="11"/>
      <c r="E6" s="11"/>
      <c r="F6" s="11"/>
      <c r="G6" s="11"/>
    </row>
    <row r="7" spans="2:7" ht="12.75">
      <c r="B7" s="11"/>
      <c r="C7" s="11"/>
      <c r="D7" s="11"/>
      <c r="E7" s="11"/>
      <c r="F7" s="11"/>
      <c r="G7" s="11"/>
    </row>
    <row r="8" spans="2:7" ht="12.75">
      <c r="B8" s="11"/>
      <c r="C8" s="11"/>
      <c r="D8" s="11"/>
      <c r="E8" s="11"/>
      <c r="F8" s="11"/>
      <c r="G8" s="11"/>
    </row>
    <row r="9" spans="2:7" ht="12.75">
      <c r="B9" s="11"/>
      <c r="C9" s="11"/>
      <c r="D9" s="11"/>
      <c r="E9" s="11"/>
      <c r="F9" s="11"/>
      <c r="G9" s="11"/>
    </row>
    <row r="10" spans="2:7" ht="12.75">
      <c r="B10" s="11"/>
      <c r="C10" s="11"/>
      <c r="D10" s="11"/>
      <c r="E10" s="11"/>
      <c r="F10" s="11"/>
      <c r="G10" s="11"/>
    </row>
    <row r="11" spans="2:7" ht="12.75">
      <c r="B11" s="11"/>
      <c r="C11" s="11"/>
      <c r="D11" s="11"/>
      <c r="E11" s="11"/>
      <c r="F11" s="11"/>
      <c r="G11" s="11"/>
    </row>
    <row r="12" spans="2:7" ht="12.75">
      <c r="B12" s="11"/>
      <c r="C12" s="11"/>
      <c r="D12" s="11"/>
      <c r="E12" s="11"/>
      <c r="F12" s="11"/>
      <c r="G12" s="11"/>
    </row>
    <row r="13" spans="2:7" ht="12.75">
      <c r="B13" s="11"/>
      <c r="C13" s="11"/>
      <c r="D13" s="11"/>
      <c r="E13" s="11"/>
      <c r="F13" s="11"/>
      <c r="G13" s="11"/>
    </row>
    <row r="14" spans="2:7" ht="12.75">
      <c r="B14" s="11"/>
      <c r="C14" s="11"/>
      <c r="D14" s="11"/>
      <c r="E14" s="11"/>
      <c r="F14" s="11"/>
      <c r="G14" s="11"/>
    </row>
    <row r="16" ht="12.75">
      <c r="F16" s="12"/>
    </row>
    <row r="17" spans="1:7" ht="12.75">
      <c r="A17" s="8"/>
      <c r="B17" s="8"/>
      <c r="C17" s="8"/>
      <c r="D17" s="8"/>
      <c r="E17" s="8"/>
      <c r="F17" s="9"/>
      <c r="G17" s="9"/>
    </row>
    <row r="32" spans="1:7" ht="12.75">
      <c r="A32" s="8"/>
      <c r="B32" s="8"/>
      <c r="C32" s="8"/>
      <c r="D32" s="8"/>
      <c r="E32" s="8"/>
      <c r="F32" s="9"/>
      <c r="G32" s="9"/>
    </row>
    <row r="35" spans="2:7" ht="12.75">
      <c r="B35" s="11"/>
      <c r="C35" s="11"/>
      <c r="D35" s="11"/>
      <c r="E35" s="11"/>
      <c r="F35" s="11"/>
      <c r="G35" s="2"/>
    </row>
    <row r="36" spans="2:7" ht="12.75">
      <c r="B36" s="11"/>
      <c r="C36" s="11"/>
      <c r="D36" s="11"/>
      <c r="E36" s="11"/>
      <c r="F36" s="11"/>
      <c r="G36" s="2"/>
    </row>
    <row r="37" spans="2:6" ht="12.75">
      <c r="B37" s="11"/>
      <c r="C37" s="11"/>
      <c r="D37" s="11"/>
      <c r="E37" s="11"/>
      <c r="F37" s="11"/>
    </row>
    <row r="38" spans="2:6" ht="12.75">
      <c r="B38" s="11"/>
      <c r="C38" s="11"/>
      <c r="D38" s="11"/>
      <c r="E38" s="11"/>
      <c r="F38" s="11"/>
    </row>
    <row r="39" spans="2:6" ht="12.75">
      <c r="B39" s="11"/>
      <c r="C39" s="11"/>
      <c r="D39" s="11"/>
      <c r="E39" s="11"/>
      <c r="F39" s="11"/>
    </row>
    <row r="40" spans="2:6" ht="12.75">
      <c r="B40" s="11"/>
      <c r="C40" s="11"/>
      <c r="D40" s="11"/>
      <c r="E40" s="11"/>
      <c r="F40" s="11"/>
    </row>
    <row r="41" spans="2:6" ht="12.75">
      <c r="B41" s="11"/>
      <c r="C41" s="11"/>
      <c r="D41" s="11"/>
      <c r="E41" s="11"/>
      <c r="F41" s="11"/>
    </row>
    <row r="42" spans="2:6" ht="12.75">
      <c r="B42" s="11"/>
      <c r="C42" s="11"/>
      <c r="D42" s="11"/>
      <c r="E42" s="11"/>
      <c r="F42" s="11"/>
    </row>
    <row r="43" spans="2:6" ht="12.75">
      <c r="B43" s="11"/>
      <c r="C43" s="11"/>
      <c r="D43" s="11"/>
      <c r="E43" s="11"/>
      <c r="F43" s="11"/>
    </row>
    <row r="44" spans="2:6" ht="12.75">
      <c r="B44" s="11"/>
      <c r="C44" s="11"/>
      <c r="D44" s="11"/>
      <c r="E44" s="11"/>
      <c r="F44" s="11"/>
    </row>
    <row r="45" spans="2:6" ht="12.75">
      <c r="B45" s="11"/>
      <c r="C45" s="11"/>
      <c r="D45" s="11"/>
      <c r="E45" s="11"/>
      <c r="F45" s="11"/>
    </row>
    <row r="47" spans="1:7" ht="12.75">
      <c r="A47" s="8"/>
      <c r="B47" s="8"/>
      <c r="C47" s="8"/>
      <c r="D47" s="8"/>
      <c r="E47" s="8"/>
      <c r="F47" s="9"/>
      <c r="G47" s="9"/>
    </row>
    <row r="50" spans="2:7" ht="12.75">
      <c r="B50" s="13"/>
      <c r="C50" s="13"/>
      <c r="D50" s="13"/>
      <c r="E50" s="13"/>
      <c r="F50" s="13"/>
      <c r="G50" s="3"/>
    </row>
    <row r="51" spans="2:7" ht="12.75">
      <c r="B51" s="13"/>
      <c r="C51" s="13"/>
      <c r="D51" s="13"/>
      <c r="E51" s="13"/>
      <c r="F51" s="13"/>
      <c r="G51" s="3"/>
    </row>
    <row r="52" spans="2:7" ht="12.75">
      <c r="B52" s="13"/>
      <c r="C52" s="13"/>
      <c r="D52" s="13"/>
      <c r="E52" s="13"/>
      <c r="F52" s="13"/>
      <c r="G52" s="13"/>
    </row>
    <row r="53" spans="2:7" ht="12.75">
      <c r="B53" s="13"/>
      <c r="C53" s="13"/>
      <c r="D53" s="13"/>
      <c r="E53" s="13"/>
      <c r="F53" s="13"/>
      <c r="G53" s="13"/>
    </row>
    <row r="54" spans="2:7" ht="12.75">
      <c r="B54" s="13"/>
      <c r="C54" s="13"/>
      <c r="D54" s="13"/>
      <c r="E54" s="13"/>
      <c r="F54" s="13"/>
      <c r="G54" s="13"/>
    </row>
    <row r="55" spans="2:7" ht="12.75">
      <c r="B55" s="13"/>
      <c r="C55" s="13"/>
      <c r="D55" s="13"/>
      <c r="E55" s="13"/>
      <c r="F55" s="13"/>
      <c r="G55" s="13"/>
    </row>
    <row r="56" spans="2:7" ht="12.75">
      <c r="B56" s="13"/>
      <c r="C56" s="13"/>
      <c r="D56" s="13"/>
      <c r="E56" s="13"/>
      <c r="F56" s="13"/>
      <c r="G56" s="13"/>
    </row>
    <row r="57" spans="2:7" ht="12.75">
      <c r="B57" s="13"/>
      <c r="C57" s="13"/>
      <c r="D57" s="13"/>
      <c r="E57" s="13"/>
      <c r="F57" s="13"/>
      <c r="G57" s="13"/>
    </row>
    <row r="58" spans="2:7" ht="12.75">
      <c r="B58" s="13"/>
      <c r="C58" s="13"/>
      <c r="D58" s="13"/>
      <c r="E58" s="13"/>
      <c r="F58" s="13"/>
      <c r="G58" s="13"/>
    </row>
    <row r="59" spans="2:7" ht="12.75">
      <c r="B59" s="13"/>
      <c r="C59" s="13"/>
      <c r="D59" s="13"/>
      <c r="E59" s="13"/>
      <c r="F59" s="13"/>
      <c r="G59" s="13"/>
    </row>
    <row r="60" spans="2:7" ht="12.75">
      <c r="B60" s="13"/>
      <c r="C60" s="13"/>
      <c r="D60" s="13"/>
      <c r="E60" s="13"/>
      <c r="F60" s="13"/>
      <c r="G60" s="13"/>
    </row>
    <row r="62" spans="1:26" s="81" customFormat="1" ht="12" customHeight="1">
      <c r="A62" s="32"/>
      <c r="B62" s="32"/>
      <c r="C62" s="36"/>
      <c r="D62" s="37"/>
      <c r="E62" s="36"/>
      <c r="F62" s="37"/>
      <c r="G62" s="37"/>
      <c r="H62" s="35"/>
      <c r="I62" s="35"/>
      <c r="J62" s="35"/>
      <c r="K62" s="35"/>
      <c r="L62" s="35"/>
      <c r="M62" s="83"/>
      <c r="O62" s="32"/>
      <c r="P62" s="36"/>
      <c r="Q62" s="37"/>
      <c r="R62" s="36"/>
      <c r="S62" s="37"/>
      <c r="T62" s="37"/>
      <c r="U62" s="35"/>
      <c r="V62" s="35"/>
      <c r="W62" s="35"/>
      <c r="X62" s="35"/>
      <c r="Y62" s="35"/>
      <c r="Z62" s="83"/>
    </row>
    <row r="63" spans="1:26" ht="12.75">
      <c r="A63" s="39"/>
      <c r="B63" s="39"/>
      <c r="C63" s="41"/>
      <c r="D63" s="40"/>
      <c r="E63" s="41"/>
      <c r="F63" s="40"/>
      <c r="G63" s="40"/>
      <c r="H63" s="39"/>
      <c r="I63" s="39"/>
      <c r="J63" s="39"/>
      <c r="K63" s="42"/>
      <c r="L63" s="39"/>
      <c r="M63" s="39"/>
      <c r="O63" s="39"/>
      <c r="P63" s="41"/>
      <c r="Q63" s="40"/>
      <c r="R63" s="41"/>
      <c r="S63" s="40"/>
      <c r="T63" s="40"/>
      <c r="U63" s="39"/>
      <c r="V63" s="39"/>
      <c r="W63" s="39"/>
      <c r="X63" s="42"/>
      <c r="Y63" s="39"/>
      <c r="Z63" s="39"/>
    </row>
    <row r="64" spans="1:13" ht="16.5">
      <c r="A64" s="222" t="s">
        <v>142</v>
      </c>
      <c r="B64" s="222"/>
      <c r="C64" s="155"/>
      <c r="D64" s="154"/>
      <c r="E64" s="154"/>
      <c r="F64" s="154"/>
      <c r="G64" s="154"/>
      <c r="H64" s="155"/>
      <c r="I64" s="97"/>
      <c r="J64" s="97"/>
      <c r="K64" s="97"/>
      <c r="L64" s="97"/>
      <c r="M64" s="98"/>
    </row>
    <row r="65" spans="1:26" ht="16.5">
      <c r="A65" s="154"/>
      <c r="B65" s="161"/>
      <c r="C65" s="161" t="s">
        <v>143</v>
      </c>
      <c r="D65" s="161"/>
      <c r="E65" s="161" t="s">
        <v>144</v>
      </c>
      <c r="F65" s="161" t="s">
        <v>144</v>
      </c>
      <c r="G65" s="161" t="s">
        <v>121</v>
      </c>
      <c r="H65" s="161" t="s">
        <v>145</v>
      </c>
      <c r="I65" s="188" t="s">
        <v>151</v>
      </c>
      <c r="J65" s="97"/>
      <c r="K65" s="97"/>
      <c r="L65" s="97"/>
      <c r="M65" s="98"/>
      <c r="V65" s="11"/>
      <c r="W65" s="11"/>
      <c r="X65" s="11"/>
      <c r="Y65" s="11"/>
      <c r="Z65" s="17"/>
    </row>
    <row r="66" spans="1:13" ht="15">
      <c r="A66" s="161"/>
      <c r="B66" s="161" t="s">
        <v>12</v>
      </c>
      <c r="C66" s="161" t="s">
        <v>146</v>
      </c>
      <c r="D66" s="161" t="s">
        <v>146</v>
      </c>
      <c r="E66" s="161" t="s">
        <v>147</v>
      </c>
      <c r="F66" s="161" t="s">
        <v>148</v>
      </c>
      <c r="G66" s="161" t="s">
        <v>149</v>
      </c>
      <c r="H66" s="161" t="s">
        <v>148</v>
      </c>
      <c r="I66" s="188" t="s">
        <v>152</v>
      </c>
      <c r="J66" s="97"/>
      <c r="K66" s="97"/>
      <c r="L66" s="97"/>
      <c r="M66" s="98"/>
    </row>
    <row r="67" spans="1:26" ht="15">
      <c r="A67" s="162" t="s">
        <v>99</v>
      </c>
      <c r="B67" s="162" t="s">
        <v>37</v>
      </c>
      <c r="C67" s="162" t="s">
        <v>37</v>
      </c>
      <c r="D67" s="162" t="s">
        <v>37</v>
      </c>
      <c r="E67" s="162" t="s">
        <v>36</v>
      </c>
      <c r="F67" s="162" t="s">
        <v>36</v>
      </c>
      <c r="G67" s="162" t="s">
        <v>38</v>
      </c>
      <c r="H67" s="162" t="s">
        <v>38</v>
      </c>
      <c r="I67" s="97"/>
      <c r="J67" s="97"/>
      <c r="K67" s="97"/>
      <c r="L67" s="97"/>
      <c r="M67" s="98"/>
      <c r="V67" s="11"/>
      <c r="W67" s="11"/>
      <c r="X67" s="11"/>
      <c r="Y67" s="11"/>
      <c r="Z67" s="17"/>
    </row>
    <row r="68" spans="1:26" ht="16.5">
      <c r="A68" s="163" t="s">
        <v>83</v>
      </c>
      <c r="B68" s="145">
        <v>0.1</v>
      </c>
      <c r="C68" s="172"/>
      <c r="D68" s="173"/>
      <c r="E68" s="172"/>
      <c r="F68" s="172"/>
      <c r="G68" s="173"/>
      <c r="H68" s="145">
        <v>0.02</v>
      </c>
      <c r="I68" s="164">
        <v>5</v>
      </c>
      <c r="J68" s="97"/>
      <c r="K68" s="97"/>
      <c r="L68" s="97"/>
      <c r="M68" s="98"/>
      <c r="P68" s="17"/>
      <c r="Q68" s="17"/>
      <c r="R68" s="17"/>
      <c r="S68" s="17"/>
      <c r="T68" s="17"/>
      <c r="U68" s="17"/>
      <c r="V68" s="11"/>
      <c r="W68" s="11"/>
      <c r="X68" s="11"/>
      <c r="Y68" s="11"/>
      <c r="Z68" s="17"/>
    </row>
    <row r="69" spans="1:26" ht="16.5">
      <c r="A69" s="163" t="s">
        <v>0</v>
      </c>
      <c r="B69" s="204">
        <v>0.06</v>
      </c>
      <c r="C69" s="172"/>
      <c r="D69" s="173"/>
      <c r="E69" s="172"/>
      <c r="F69" s="172"/>
      <c r="G69" s="173"/>
      <c r="H69" s="145">
        <v>0.02</v>
      </c>
      <c r="I69" s="164">
        <v>5</v>
      </c>
      <c r="J69" s="97"/>
      <c r="K69" s="97"/>
      <c r="L69" s="97"/>
      <c r="M69" s="98"/>
      <c r="P69" s="17"/>
      <c r="Q69" s="17"/>
      <c r="R69" s="17"/>
      <c r="S69" s="17"/>
      <c r="T69" s="17"/>
      <c r="U69" s="17"/>
      <c r="V69" s="11"/>
      <c r="W69" s="11"/>
      <c r="X69" s="11"/>
      <c r="Y69" s="11"/>
      <c r="Z69" s="17"/>
    </row>
    <row r="70" spans="1:26" ht="16.5">
      <c r="A70" s="163" t="s">
        <v>1</v>
      </c>
      <c r="B70" s="204">
        <v>0.02</v>
      </c>
      <c r="C70" s="172"/>
      <c r="D70" s="173"/>
      <c r="E70" s="173"/>
      <c r="F70" s="172"/>
      <c r="G70" s="173"/>
      <c r="H70" s="145">
        <v>0.02</v>
      </c>
      <c r="I70" s="164">
        <v>12</v>
      </c>
      <c r="J70" s="97"/>
      <c r="K70" s="97"/>
      <c r="L70" s="97"/>
      <c r="M70" s="98"/>
      <c r="P70" s="17"/>
      <c r="Q70" s="17"/>
      <c r="R70" s="17"/>
      <c r="S70" s="17"/>
      <c r="T70" s="17"/>
      <c r="U70" s="17"/>
      <c r="V70" s="11"/>
      <c r="W70" s="11"/>
      <c r="X70" s="11"/>
      <c r="Y70" s="11"/>
      <c r="Z70" s="17"/>
    </row>
    <row r="71" spans="1:26" ht="16.5">
      <c r="A71" s="163" t="s">
        <v>2</v>
      </c>
      <c r="B71" s="204">
        <v>0.04</v>
      </c>
      <c r="C71" s="172"/>
      <c r="D71" s="173"/>
      <c r="E71" s="172"/>
      <c r="F71" s="172"/>
      <c r="G71" s="172"/>
      <c r="H71" s="145">
        <v>0.02</v>
      </c>
      <c r="I71" s="164">
        <v>5</v>
      </c>
      <c r="J71" s="97"/>
      <c r="K71" s="97"/>
      <c r="L71" s="97"/>
      <c r="M71" s="98"/>
      <c r="V71" s="11"/>
      <c r="W71" s="11"/>
      <c r="X71" s="11"/>
      <c r="Y71" s="11"/>
      <c r="Z71" s="17"/>
    </row>
    <row r="72" spans="1:26" ht="16.5">
      <c r="A72" s="163" t="s">
        <v>3</v>
      </c>
      <c r="B72" s="204">
        <v>0.02</v>
      </c>
      <c r="C72" s="172"/>
      <c r="D72" s="173"/>
      <c r="E72" s="173"/>
      <c r="F72" s="172"/>
      <c r="G72" s="172"/>
      <c r="H72" s="145">
        <v>0.02</v>
      </c>
      <c r="I72" s="208">
        <v>5</v>
      </c>
      <c r="J72" s="97"/>
      <c r="K72" s="97"/>
      <c r="L72" s="97"/>
      <c r="M72" s="98"/>
      <c r="V72" s="11"/>
      <c r="W72" s="11"/>
      <c r="X72" s="11"/>
      <c r="Y72" s="11"/>
      <c r="Z72" s="17"/>
    </row>
    <row r="73" spans="1:26" ht="16.5">
      <c r="A73" s="163" t="s">
        <v>4</v>
      </c>
      <c r="B73" s="204">
        <v>0.02</v>
      </c>
      <c r="C73" s="173"/>
      <c r="D73" s="173"/>
      <c r="E73" s="173"/>
      <c r="F73" s="172"/>
      <c r="G73" s="173"/>
      <c r="H73" s="145">
        <v>0.02</v>
      </c>
      <c r="I73" s="208">
        <v>5</v>
      </c>
      <c r="J73" s="97"/>
      <c r="K73" s="97"/>
      <c r="L73" s="97"/>
      <c r="M73" s="98"/>
      <c r="V73" s="11"/>
      <c r="W73" s="11"/>
      <c r="X73" s="11"/>
      <c r="Y73" s="11"/>
      <c r="Z73" s="17"/>
    </row>
    <row r="74" spans="1:13" ht="16.5">
      <c r="A74" s="163" t="s">
        <v>5</v>
      </c>
      <c r="B74" s="204">
        <v>0.04</v>
      </c>
      <c r="C74" s="173"/>
      <c r="D74" s="173"/>
      <c r="E74" s="173"/>
      <c r="F74" s="172"/>
      <c r="G74" s="172"/>
      <c r="H74" s="204">
        <v>0.05</v>
      </c>
      <c r="I74" s="208">
        <v>12</v>
      </c>
      <c r="J74" s="97"/>
      <c r="K74" s="97"/>
      <c r="L74" s="97"/>
      <c r="M74" s="98"/>
    </row>
    <row r="75" spans="1:13" ht="16.5">
      <c r="A75" s="163" t="s">
        <v>6</v>
      </c>
      <c r="B75" s="204">
        <v>0.02</v>
      </c>
      <c r="C75" s="173"/>
      <c r="D75" s="173"/>
      <c r="E75" s="172"/>
      <c r="F75" s="172"/>
      <c r="G75" s="172"/>
      <c r="H75" s="204">
        <v>0.02</v>
      </c>
      <c r="I75" s="208">
        <v>6</v>
      </c>
      <c r="J75" s="97"/>
      <c r="K75" s="97"/>
      <c r="L75" s="97"/>
      <c r="M75" s="98"/>
    </row>
    <row r="76" spans="1:14" ht="16.5">
      <c r="A76" s="163" t="s">
        <v>7</v>
      </c>
      <c r="B76" s="204">
        <v>0.02</v>
      </c>
      <c r="C76" s="173"/>
      <c r="D76" s="173"/>
      <c r="E76" s="173"/>
      <c r="F76" s="172"/>
      <c r="G76" s="172"/>
      <c r="H76" s="204">
        <v>0.02</v>
      </c>
      <c r="I76" s="208">
        <v>6</v>
      </c>
      <c r="J76" s="96"/>
      <c r="K76" s="95"/>
      <c r="L76" s="95"/>
      <c r="M76" s="97"/>
      <c r="N76" s="95"/>
    </row>
    <row r="77" spans="1:26" ht="16.5">
      <c r="A77" s="163" t="s">
        <v>8</v>
      </c>
      <c r="B77" s="204">
        <v>0.02</v>
      </c>
      <c r="C77" s="173"/>
      <c r="D77" s="173"/>
      <c r="E77" s="172"/>
      <c r="F77" s="172"/>
      <c r="G77" s="173"/>
      <c r="H77" s="204">
        <v>0.02</v>
      </c>
      <c r="I77" s="208">
        <v>7</v>
      </c>
      <c r="J77" s="35"/>
      <c r="K77" s="35"/>
      <c r="L77" s="35"/>
      <c r="M77" s="35"/>
      <c r="N77" s="66"/>
      <c r="O77" s="32"/>
      <c r="P77" s="36"/>
      <c r="Q77" s="37"/>
      <c r="R77" s="36"/>
      <c r="S77" s="37"/>
      <c r="T77" s="37"/>
      <c r="U77" s="35"/>
      <c r="V77" s="35"/>
      <c r="W77" s="35"/>
      <c r="X77" s="35"/>
      <c r="Y77" s="35"/>
      <c r="Z77" s="35"/>
    </row>
    <row r="78" spans="1:26" ht="16.5">
      <c r="A78" s="163" t="s">
        <v>9</v>
      </c>
      <c r="B78" s="204">
        <v>0.02</v>
      </c>
      <c r="C78" s="173"/>
      <c r="D78" s="173"/>
      <c r="E78" s="173"/>
      <c r="F78" s="172"/>
      <c r="G78" s="172"/>
      <c r="H78" s="204">
        <v>0.02</v>
      </c>
      <c r="I78" s="208">
        <v>8</v>
      </c>
      <c r="J78" s="38"/>
      <c r="K78" s="44"/>
      <c r="L78" s="38"/>
      <c r="M78" s="38"/>
      <c r="N78" s="64"/>
      <c r="O78" s="38"/>
      <c r="P78" s="170"/>
      <c r="Q78" s="171"/>
      <c r="R78" s="170"/>
      <c r="S78" s="171"/>
      <c r="T78" s="171"/>
      <c r="U78" s="38"/>
      <c r="V78" s="38"/>
      <c r="W78" s="38"/>
      <c r="X78" s="44"/>
      <c r="Y78" s="39"/>
      <c r="Z78" s="39"/>
    </row>
    <row r="79" spans="1:25" ht="16.5">
      <c r="A79" s="163" t="s">
        <v>10</v>
      </c>
      <c r="B79" s="204">
        <v>0.02</v>
      </c>
      <c r="C79" s="172"/>
      <c r="D79" s="173"/>
      <c r="E79" s="173"/>
      <c r="F79" s="172"/>
      <c r="G79" s="173"/>
      <c r="H79" s="204">
        <v>0.02</v>
      </c>
      <c r="I79" s="208">
        <v>5</v>
      </c>
      <c r="J79" s="95"/>
      <c r="K79" s="97"/>
      <c r="L79" s="95"/>
      <c r="M79" s="95"/>
      <c r="N79" s="66"/>
      <c r="O79" s="32"/>
      <c r="V79" s="11"/>
      <c r="W79" s="11"/>
      <c r="X79" s="11"/>
      <c r="Y79" s="11"/>
    </row>
    <row r="80" spans="1:26" ht="12.75">
      <c r="A80" s="185" t="s">
        <v>150</v>
      </c>
      <c r="B80" s="186">
        <f>AVERAGE(B68:B79)</f>
        <v>0.03333333333333334</v>
      </c>
      <c r="C80" s="186"/>
      <c r="D80" s="186"/>
      <c r="E80" s="186"/>
      <c r="F80" s="186"/>
      <c r="G80" s="186"/>
      <c r="H80" s="186">
        <f>AVERAGE(H68:H79)</f>
        <v>0.022499999999999996</v>
      </c>
      <c r="I80" s="186">
        <f>AVERAGE(I68:I79)</f>
        <v>6.75</v>
      </c>
      <c r="J80" s="95"/>
      <c r="K80" s="97"/>
      <c r="L80" s="95"/>
      <c r="M80" s="95"/>
      <c r="N80" s="66"/>
      <c r="O80" s="32"/>
      <c r="V80" s="11"/>
      <c r="W80" s="11"/>
      <c r="X80" s="11"/>
      <c r="Y80" s="11"/>
      <c r="Z80" s="17"/>
    </row>
    <row r="81" spans="1:26" ht="12.75">
      <c r="A81" s="90"/>
      <c r="B81" s="91"/>
      <c r="C81" s="92"/>
      <c r="D81" s="93"/>
      <c r="E81" s="92"/>
      <c r="F81" s="93"/>
      <c r="G81" s="93"/>
      <c r="H81" s="95"/>
      <c r="I81" s="96"/>
      <c r="J81" s="95"/>
      <c r="K81" s="97"/>
      <c r="L81" s="95"/>
      <c r="M81" s="95"/>
      <c r="N81" s="64"/>
      <c r="O81" s="32"/>
      <c r="V81" s="11"/>
      <c r="W81" s="11"/>
      <c r="X81" s="11"/>
      <c r="Y81" s="11"/>
      <c r="Z81" s="17"/>
    </row>
    <row r="82" spans="1:26" ht="12.75">
      <c r="A82" s="90"/>
      <c r="B82" s="91"/>
      <c r="C82" s="92"/>
      <c r="D82" s="93"/>
      <c r="E82" s="92"/>
      <c r="F82" s="93"/>
      <c r="G82" s="93"/>
      <c r="H82" s="95"/>
      <c r="I82" s="96"/>
      <c r="J82" s="95"/>
      <c r="K82" s="97"/>
      <c r="L82" s="95"/>
      <c r="M82" s="95"/>
      <c r="N82" s="62"/>
      <c r="O82" s="32"/>
      <c r="P82" s="17"/>
      <c r="Q82" s="17"/>
      <c r="R82" s="17"/>
      <c r="S82" s="17"/>
      <c r="T82" s="17"/>
      <c r="U82" s="17"/>
      <c r="V82" s="11"/>
      <c r="W82" s="11"/>
      <c r="X82" s="11"/>
      <c r="Y82" s="11"/>
      <c r="Z82" s="17"/>
    </row>
    <row r="83" spans="1:26" ht="16.5">
      <c r="A83" s="222" t="s">
        <v>84</v>
      </c>
      <c r="B83" s="222"/>
      <c r="C83" s="165"/>
      <c r="D83" s="154"/>
      <c r="E83" s="154"/>
      <c r="F83" s="154"/>
      <c r="G83" s="154"/>
      <c r="H83" s="165"/>
      <c r="I83" s="96"/>
      <c r="J83" s="95"/>
      <c r="K83" s="97"/>
      <c r="L83" s="95"/>
      <c r="M83" s="95"/>
      <c r="N83" s="62"/>
      <c r="O83" s="32"/>
      <c r="P83" s="17"/>
      <c r="Q83" s="17"/>
      <c r="R83" s="17"/>
      <c r="S83" s="17"/>
      <c r="T83" s="17"/>
      <c r="U83" s="17"/>
      <c r="V83" s="11"/>
      <c r="W83" s="11"/>
      <c r="X83" s="11"/>
      <c r="Y83" s="11"/>
      <c r="Z83" s="17"/>
    </row>
    <row r="84" spans="1:26" ht="16.5">
      <c r="A84" s="154"/>
      <c r="B84" s="166"/>
      <c r="C84" s="166" t="s">
        <v>143</v>
      </c>
      <c r="D84" s="154"/>
      <c r="E84" s="154" t="s">
        <v>144</v>
      </c>
      <c r="F84" s="154" t="s">
        <v>144</v>
      </c>
      <c r="G84" s="154" t="s">
        <v>121</v>
      </c>
      <c r="H84" s="166" t="s">
        <v>145</v>
      </c>
      <c r="I84" s="188" t="s">
        <v>151</v>
      </c>
      <c r="J84" s="95"/>
      <c r="K84" s="97"/>
      <c r="L84" s="95"/>
      <c r="M84" s="95"/>
      <c r="N84" s="66"/>
      <c r="O84" s="32"/>
      <c r="P84" s="17"/>
      <c r="Q84" s="17"/>
      <c r="R84" s="17"/>
      <c r="S84" s="17"/>
      <c r="T84" s="17"/>
      <c r="U84" s="17"/>
      <c r="V84" s="11"/>
      <c r="W84" s="11"/>
      <c r="X84" s="11"/>
      <c r="Y84" s="11"/>
      <c r="Z84" s="17"/>
    </row>
    <row r="85" spans="1:26" ht="16.5">
      <c r="A85" s="154"/>
      <c r="B85" s="166" t="s">
        <v>12</v>
      </c>
      <c r="C85" s="166" t="s">
        <v>146</v>
      </c>
      <c r="D85" s="154" t="s">
        <v>146</v>
      </c>
      <c r="E85" s="154" t="s">
        <v>147</v>
      </c>
      <c r="F85" s="154" t="s">
        <v>148</v>
      </c>
      <c r="G85" s="154" t="s">
        <v>149</v>
      </c>
      <c r="H85" s="166" t="s">
        <v>148</v>
      </c>
      <c r="I85" s="188" t="s">
        <v>152</v>
      </c>
      <c r="J85" s="95"/>
      <c r="K85" s="97"/>
      <c r="L85" s="95"/>
      <c r="M85" s="95"/>
      <c r="N85" s="66"/>
      <c r="O85" s="32"/>
      <c r="P85" s="17"/>
      <c r="Q85" s="17"/>
      <c r="R85" s="17"/>
      <c r="S85" s="17"/>
      <c r="T85" s="17"/>
      <c r="U85" s="17"/>
      <c r="V85" s="11"/>
      <c r="W85" s="11"/>
      <c r="X85" s="11"/>
      <c r="Y85" s="11"/>
      <c r="Z85" s="17"/>
    </row>
    <row r="86" spans="1:26" ht="16.5">
      <c r="A86" s="156" t="s">
        <v>99</v>
      </c>
      <c r="B86" s="167" t="s">
        <v>37</v>
      </c>
      <c r="C86" s="167" t="s">
        <v>37</v>
      </c>
      <c r="D86" s="156" t="s">
        <v>37</v>
      </c>
      <c r="E86" s="156" t="s">
        <v>36</v>
      </c>
      <c r="F86" s="156" t="s">
        <v>36</v>
      </c>
      <c r="G86" s="156" t="s">
        <v>38</v>
      </c>
      <c r="H86" s="167" t="s">
        <v>38</v>
      </c>
      <c r="I86" s="96"/>
      <c r="J86" s="95"/>
      <c r="K86" s="99"/>
      <c r="L86" s="95"/>
      <c r="M86" s="95"/>
      <c r="N86" s="66"/>
      <c r="O86" s="32"/>
      <c r="V86" s="11"/>
      <c r="W86" s="11"/>
      <c r="X86" s="11"/>
      <c r="Y86" s="11"/>
      <c r="Z86" s="17"/>
    </row>
    <row r="87" spans="1:14" ht="16.5">
      <c r="A87" s="157" t="s">
        <v>83</v>
      </c>
      <c r="B87" s="207">
        <v>1.33</v>
      </c>
      <c r="C87" s="177"/>
      <c r="D87" s="173"/>
      <c r="E87" s="172"/>
      <c r="F87" s="172"/>
      <c r="G87" s="172"/>
      <c r="H87" s="207">
        <v>0.03</v>
      </c>
      <c r="I87" s="164">
        <v>6</v>
      </c>
      <c r="J87" s="95"/>
      <c r="K87" s="97"/>
      <c r="L87" s="95"/>
      <c r="M87" s="95"/>
      <c r="N87" s="66"/>
    </row>
    <row r="88" spans="1:14" ht="16.5">
      <c r="A88" s="157" t="s">
        <v>0</v>
      </c>
      <c r="B88" s="207">
        <v>1.35</v>
      </c>
      <c r="C88" s="177"/>
      <c r="D88" s="173"/>
      <c r="E88" s="172"/>
      <c r="F88" s="172"/>
      <c r="G88" s="172"/>
      <c r="H88" s="207">
        <v>0.04</v>
      </c>
      <c r="I88" s="164">
        <v>12</v>
      </c>
      <c r="J88" s="95"/>
      <c r="K88" s="97"/>
      <c r="L88" s="95"/>
      <c r="M88" s="95"/>
      <c r="N88" s="66"/>
    </row>
    <row r="89" spans="1:14" ht="16.5">
      <c r="A89" s="157" t="s">
        <v>1</v>
      </c>
      <c r="B89" s="207">
        <v>2.34</v>
      </c>
      <c r="C89" s="177"/>
      <c r="D89" s="173"/>
      <c r="E89" s="172"/>
      <c r="F89" s="172"/>
      <c r="G89" s="172"/>
      <c r="H89" s="207">
        <v>0.04</v>
      </c>
      <c r="I89" s="164">
        <v>5</v>
      </c>
      <c r="J89" s="95"/>
      <c r="K89" s="97"/>
      <c r="L89" s="95"/>
      <c r="M89" s="95"/>
      <c r="N89" s="66"/>
    </row>
    <row r="90" spans="1:14" ht="16.5">
      <c r="A90" s="157" t="s">
        <v>2</v>
      </c>
      <c r="B90" s="207">
        <v>0.3</v>
      </c>
      <c r="C90" s="177"/>
      <c r="D90" s="173"/>
      <c r="E90" s="172"/>
      <c r="F90" s="172"/>
      <c r="G90" s="172"/>
      <c r="H90" s="207">
        <v>0.04</v>
      </c>
      <c r="I90" s="164">
        <v>8</v>
      </c>
      <c r="J90" s="95"/>
      <c r="K90" s="97"/>
      <c r="L90" s="95"/>
      <c r="M90" s="95"/>
      <c r="N90" s="66"/>
    </row>
    <row r="91" spans="1:14" ht="16.5">
      <c r="A91" s="157" t="s">
        <v>3</v>
      </c>
      <c r="B91" s="207">
        <v>0.18</v>
      </c>
      <c r="C91" s="178"/>
      <c r="D91" s="179"/>
      <c r="E91" s="178"/>
      <c r="F91" s="178"/>
      <c r="G91" s="178"/>
      <c r="H91" s="207">
        <v>0.05</v>
      </c>
      <c r="I91" s="164">
        <v>24</v>
      </c>
      <c r="J91" s="95"/>
      <c r="K91" s="97"/>
      <c r="L91" s="95"/>
      <c r="M91" s="95"/>
      <c r="N91" s="66"/>
    </row>
    <row r="92" spans="1:14" ht="16.5">
      <c r="A92" s="157" t="s">
        <v>4</v>
      </c>
      <c r="B92" s="207">
        <v>0.02</v>
      </c>
      <c r="C92" s="178"/>
      <c r="D92" s="179"/>
      <c r="E92" s="178"/>
      <c r="F92" s="178"/>
      <c r="G92" s="178"/>
      <c r="H92" s="207">
        <v>0.09</v>
      </c>
      <c r="I92" s="164">
        <v>20</v>
      </c>
      <c r="J92" s="95"/>
      <c r="K92" s="97"/>
      <c r="L92" s="95"/>
      <c r="M92" s="95"/>
      <c r="N92" s="64"/>
    </row>
    <row r="93" spans="1:14" ht="16.5">
      <c r="A93" s="157" t="s">
        <v>5</v>
      </c>
      <c r="B93" s="207">
        <v>0.49</v>
      </c>
      <c r="C93" s="177"/>
      <c r="D93" s="173"/>
      <c r="E93" s="172"/>
      <c r="F93" s="178"/>
      <c r="G93" s="178"/>
      <c r="H93" s="207">
        <v>0.12</v>
      </c>
      <c r="I93" s="164">
        <v>54</v>
      </c>
      <c r="J93" s="71"/>
      <c r="K93" s="71"/>
      <c r="L93" s="71"/>
      <c r="M93" s="59"/>
      <c r="N93" s="66"/>
    </row>
    <row r="94" spans="1:14" ht="16.5">
      <c r="A94" s="157" t="s">
        <v>6</v>
      </c>
      <c r="B94" s="207">
        <v>0</v>
      </c>
      <c r="C94" s="177"/>
      <c r="D94" s="173"/>
      <c r="E94" s="172"/>
      <c r="F94" s="178"/>
      <c r="G94" s="178"/>
      <c r="H94" s="207">
        <v>0</v>
      </c>
      <c r="I94" s="164">
        <v>0</v>
      </c>
      <c r="J94" s="71"/>
      <c r="K94" s="71"/>
      <c r="L94" s="71"/>
      <c r="M94" s="59"/>
      <c r="N94" s="66"/>
    </row>
    <row r="95" spans="1:14" ht="16.5">
      <c r="A95" s="157" t="s">
        <v>7</v>
      </c>
      <c r="B95" s="207">
        <v>0</v>
      </c>
      <c r="C95" s="177"/>
      <c r="D95" s="173"/>
      <c r="E95" s="172"/>
      <c r="F95" s="178"/>
      <c r="G95" s="178"/>
      <c r="H95" s="207">
        <v>0</v>
      </c>
      <c r="I95" s="208">
        <v>0</v>
      </c>
      <c r="J95" s="71"/>
      <c r="K95" s="71"/>
      <c r="L95" s="71"/>
      <c r="M95" s="59"/>
      <c r="N95" s="66"/>
    </row>
    <row r="96" spans="1:14" ht="16.5">
      <c r="A96" s="157" t="s">
        <v>8</v>
      </c>
      <c r="B96" s="207">
        <v>0</v>
      </c>
      <c r="C96" s="177"/>
      <c r="D96" s="173"/>
      <c r="E96" s="172"/>
      <c r="F96" s="178"/>
      <c r="G96" s="178"/>
      <c r="H96" s="207">
        <v>0</v>
      </c>
      <c r="I96" s="208">
        <v>0</v>
      </c>
      <c r="J96" s="71"/>
      <c r="K96" s="71"/>
      <c r="L96" s="71"/>
      <c r="M96" s="59"/>
      <c r="N96" s="66"/>
    </row>
    <row r="97" spans="1:26" s="81" customFormat="1" ht="16.5">
      <c r="A97" s="157" t="s">
        <v>9</v>
      </c>
      <c r="B97" s="207">
        <v>0.81</v>
      </c>
      <c r="C97" s="177"/>
      <c r="D97" s="173"/>
      <c r="E97" s="172"/>
      <c r="F97" s="172"/>
      <c r="G97" s="172"/>
      <c r="H97" s="207">
        <v>0.03</v>
      </c>
      <c r="I97" s="208">
        <v>5</v>
      </c>
      <c r="J97" s="35"/>
      <c r="K97" s="35"/>
      <c r="L97" s="35"/>
      <c r="M97" s="35"/>
      <c r="N97" s="66"/>
      <c r="O97" s="32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s="81" customFormat="1" ht="16.5">
      <c r="A98" s="157" t="s">
        <v>10</v>
      </c>
      <c r="B98" s="207">
        <v>0.94</v>
      </c>
      <c r="C98" s="177"/>
      <c r="D98" s="173"/>
      <c r="E98" s="172"/>
      <c r="F98" s="172"/>
      <c r="G98" s="172"/>
      <c r="H98" s="207">
        <v>0.02</v>
      </c>
      <c r="I98" s="208">
        <v>5</v>
      </c>
      <c r="J98" s="39"/>
      <c r="K98" s="42"/>
      <c r="L98" s="39"/>
      <c r="M98" s="39"/>
      <c r="N98" s="64"/>
      <c r="O98" s="39"/>
      <c r="P98" s="43"/>
      <c r="Q98" s="39"/>
      <c r="R98" s="39"/>
      <c r="S98" s="39"/>
      <c r="T98" s="39"/>
      <c r="U98" s="39"/>
      <c r="V98" s="39"/>
      <c r="W98" s="39"/>
      <c r="X98" s="42"/>
      <c r="Y98" s="39"/>
      <c r="Z98" s="39"/>
    </row>
    <row r="99" spans="1:19" ht="12.75" customHeight="1" hidden="1">
      <c r="A99" s="38"/>
      <c r="B99" s="180"/>
      <c r="C99" s="181"/>
      <c r="D99" s="180"/>
      <c r="E99" s="180"/>
      <c r="F99" s="180"/>
      <c r="G99" s="180"/>
      <c r="H99" s="180"/>
      <c r="I99" s="38"/>
      <c r="J99" s="38"/>
      <c r="K99" s="87"/>
      <c r="L99" s="38"/>
      <c r="M99" s="38"/>
      <c r="N99" s="62"/>
      <c r="O99" s="62"/>
      <c r="P99" s="62"/>
      <c r="Q99" s="62"/>
      <c r="R99" s="62"/>
      <c r="S99" s="7"/>
    </row>
    <row r="100" spans="1:19" ht="12.75" customHeight="1" hidden="1">
      <c r="A100" s="88"/>
      <c r="B100" s="182"/>
      <c r="C100" s="183"/>
      <c r="D100" s="182"/>
      <c r="E100" s="182"/>
      <c r="F100" s="182"/>
      <c r="G100" s="182"/>
      <c r="H100" s="182"/>
      <c r="I100" s="88"/>
      <c r="J100" s="88"/>
      <c r="K100" s="89"/>
      <c r="L100" s="88"/>
      <c r="M100" s="88"/>
      <c r="N100" s="62"/>
      <c r="O100" s="62"/>
      <c r="P100" s="62"/>
      <c r="Q100" s="62"/>
      <c r="R100" s="62"/>
      <c r="S100" s="7"/>
    </row>
    <row r="101" spans="1:19" ht="12.75" customHeight="1" hidden="1">
      <c r="A101" s="38"/>
      <c r="B101" s="180"/>
      <c r="C101" s="181"/>
      <c r="D101" s="180"/>
      <c r="E101" s="180"/>
      <c r="F101" s="180"/>
      <c r="G101" s="180"/>
      <c r="H101" s="180"/>
      <c r="I101" s="38"/>
      <c r="J101" s="38"/>
      <c r="K101" s="44"/>
      <c r="L101" s="38"/>
      <c r="M101" s="38"/>
      <c r="N101" s="63"/>
      <c r="O101" s="62"/>
      <c r="P101" s="62"/>
      <c r="Q101" s="63"/>
      <c r="R101" s="62"/>
      <c r="S101" s="7"/>
    </row>
    <row r="102" spans="1:19" ht="12.75">
      <c r="A102" s="90" t="s">
        <v>150</v>
      </c>
      <c r="B102" s="184">
        <f>AVERAGE(B87:B98)</f>
        <v>0.6466666666666665</v>
      </c>
      <c r="C102" s="184"/>
      <c r="D102" s="184"/>
      <c r="E102" s="184"/>
      <c r="F102" s="184"/>
      <c r="G102" s="184"/>
      <c r="H102" s="184">
        <f>AVERAGE(H87:H98)</f>
        <v>0.03833333333333334</v>
      </c>
      <c r="I102" s="184">
        <f>AVERAGE(I87:I98)</f>
        <v>11.583333333333334</v>
      </c>
      <c r="J102" s="96"/>
      <c r="K102" s="97"/>
      <c r="L102" s="95"/>
      <c r="M102" s="95"/>
      <c r="N102" s="64"/>
      <c r="O102" s="65"/>
      <c r="P102" s="64"/>
      <c r="Q102" s="64"/>
      <c r="R102" s="64"/>
      <c r="S102" s="7"/>
    </row>
    <row r="103" spans="1:25" ht="12.75" customHeight="1">
      <c r="A103" s="90"/>
      <c r="B103" s="91"/>
      <c r="C103" s="92"/>
      <c r="D103" s="92"/>
      <c r="E103" s="92"/>
      <c r="F103" s="92"/>
      <c r="G103" s="92"/>
      <c r="H103" s="95"/>
      <c r="I103" s="95"/>
      <c r="J103" s="96"/>
      <c r="K103" s="97"/>
      <c r="L103" s="95"/>
      <c r="M103" s="95"/>
      <c r="N103" s="62"/>
      <c r="O103" s="65"/>
      <c r="V103" s="11"/>
      <c r="W103" s="11"/>
      <c r="X103" s="11"/>
      <c r="Y103" s="11"/>
    </row>
    <row r="104" spans="1:25" ht="12.75" customHeight="1">
      <c r="A104" s="90"/>
      <c r="B104" s="91"/>
      <c r="C104" s="92"/>
      <c r="D104" s="92"/>
      <c r="E104" s="92"/>
      <c r="F104" s="92"/>
      <c r="G104" s="92"/>
      <c r="H104" s="95"/>
      <c r="I104" s="95"/>
      <c r="J104" s="96"/>
      <c r="K104" s="97"/>
      <c r="L104" s="95"/>
      <c r="M104" s="95"/>
      <c r="N104" s="62"/>
      <c r="O104" s="65"/>
      <c r="V104" s="11"/>
      <c r="W104" s="11"/>
      <c r="X104" s="11"/>
      <c r="Y104" s="11"/>
    </row>
    <row r="105" spans="1:25" ht="12.75" customHeight="1">
      <c r="A105" s="222" t="s">
        <v>117</v>
      </c>
      <c r="B105" s="222"/>
      <c r="C105" s="165"/>
      <c r="D105" s="154"/>
      <c r="E105" s="154"/>
      <c r="F105" s="154"/>
      <c r="G105" s="154"/>
      <c r="H105" s="155"/>
      <c r="I105" s="95"/>
      <c r="J105" s="96"/>
      <c r="K105" s="97"/>
      <c r="L105" s="95"/>
      <c r="M105" s="95"/>
      <c r="N105" s="62"/>
      <c r="O105" s="65"/>
      <c r="V105" s="11"/>
      <c r="W105" s="11"/>
      <c r="X105" s="11"/>
      <c r="Y105" s="11"/>
    </row>
    <row r="106" spans="1:25" ht="16.5">
      <c r="A106" s="154"/>
      <c r="B106" s="166"/>
      <c r="C106" s="166" t="s">
        <v>143</v>
      </c>
      <c r="D106" s="154"/>
      <c r="E106" s="154" t="s">
        <v>144</v>
      </c>
      <c r="F106" s="154" t="s">
        <v>144</v>
      </c>
      <c r="G106" s="154" t="s">
        <v>121</v>
      </c>
      <c r="H106" s="154" t="s">
        <v>145</v>
      </c>
      <c r="I106" s="188" t="s">
        <v>151</v>
      </c>
      <c r="J106" s="96"/>
      <c r="K106" s="97"/>
      <c r="L106" s="96"/>
      <c r="M106" s="95"/>
      <c r="N106" s="64"/>
      <c r="O106" s="65"/>
      <c r="V106" s="11"/>
      <c r="W106" s="11"/>
      <c r="X106" s="11"/>
      <c r="Y106" s="11"/>
    </row>
    <row r="107" spans="1:26" ht="16.5">
      <c r="A107" s="154"/>
      <c r="B107" s="166" t="s">
        <v>12</v>
      </c>
      <c r="C107" s="166" t="s">
        <v>146</v>
      </c>
      <c r="D107" s="154" t="s">
        <v>146</v>
      </c>
      <c r="E107" s="154" t="s">
        <v>147</v>
      </c>
      <c r="F107" s="154" t="s">
        <v>148</v>
      </c>
      <c r="G107" s="154" t="s">
        <v>149</v>
      </c>
      <c r="H107" s="154" t="s">
        <v>148</v>
      </c>
      <c r="I107" s="188" t="s">
        <v>152</v>
      </c>
      <c r="J107" s="96"/>
      <c r="K107" s="97"/>
      <c r="L107" s="95"/>
      <c r="M107" s="95"/>
      <c r="N107" s="69"/>
      <c r="O107" s="65"/>
      <c r="P107" s="17"/>
      <c r="Q107" s="17"/>
      <c r="R107" s="17"/>
      <c r="S107" s="17"/>
      <c r="T107" s="17"/>
      <c r="U107" s="17"/>
      <c r="V107" s="11"/>
      <c r="W107" s="11"/>
      <c r="X107" s="11"/>
      <c r="Y107" s="11"/>
      <c r="Z107" s="17"/>
    </row>
    <row r="108" spans="1:26" ht="16.5">
      <c r="A108" s="156" t="s">
        <v>99</v>
      </c>
      <c r="B108" s="167" t="s">
        <v>37</v>
      </c>
      <c r="C108" s="167" t="s">
        <v>37</v>
      </c>
      <c r="D108" s="156" t="s">
        <v>37</v>
      </c>
      <c r="E108" s="156" t="s">
        <v>36</v>
      </c>
      <c r="F108" s="156" t="s">
        <v>36</v>
      </c>
      <c r="G108" s="156" t="s">
        <v>38</v>
      </c>
      <c r="H108" s="156" t="s">
        <v>38</v>
      </c>
      <c r="I108" s="95"/>
      <c r="J108" s="96"/>
      <c r="K108" s="97"/>
      <c r="L108" s="95"/>
      <c r="M108" s="95"/>
      <c r="N108" s="69"/>
      <c r="O108" s="65"/>
      <c r="P108" s="17"/>
      <c r="Q108" s="17"/>
      <c r="R108" s="17"/>
      <c r="S108" s="17"/>
      <c r="T108" s="17"/>
      <c r="U108" s="17"/>
      <c r="V108" s="11"/>
      <c r="W108" s="11"/>
      <c r="X108" s="11"/>
      <c r="Y108" s="11"/>
      <c r="Z108" s="17"/>
    </row>
    <row r="109" spans="1:25" ht="16.5">
      <c r="A109" s="168" t="s">
        <v>83</v>
      </c>
      <c r="B109" s="207">
        <v>0.55</v>
      </c>
      <c r="C109" s="174"/>
      <c r="D109" s="176"/>
      <c r="E109" s="175"/>
      <c r="F109" s="175"/>
      <c r="G109" s="176"/>
      <c r="H109" s="204">
        <v>0.02</v>
      </c>
      <c r="I109" s="208">
        <v>5</v>
      </c>
      <c r="J109" s="100"/>
      <c r="K109" s="97"/>
      <c r="L109" s="95"/>
      <c r="M109" s="95"/>
      <c r="N109" s="35"/>
      <c r="O109" s="65"/>
      <c r="V109" s="11"/>
      <c r="W109" s="11"/>
      <c r="X109" s="11"/>
      <c r="Y109" s="11"/>
    </row>
    <row r="110" spans="1:26" s="81" customFormat="1" ht="16.5">
      <c r="A110" s="168" t="s">
        <v>0</v>
      </c>
      <c r="B110" s="207">
        <v>0.35</v>
      </c>
      <c r="C110" s="177"/>
      <c r="D110" s="173"/>
      <c r="E110" s="173"/>
      <c r="F110" s="172"/>
      <c r="G110" s="172"/>
      <c r="H110" s="204">
        <v>0.02</v>
      </c>
      <c r="I110" s="208">
        <v>5</v>
      </c>
      <c r="J110" s="100"/>
      <c r="K110" s="97"/>
      <c r="L110" s="95"/>
      <c r="M110" s="95"/>
      <c r="N110" s="38"/>
      <c r="O110" s="65"/>
      <c r="P110" s="10"/>
      <c r="Q110" s="10"/>
      <c r="R110" s="10"/>
      <c r="S110" s="10"/>
      <c r="T110" s="10"/>
      <c r="U110" s="10"/>
      <c r="V110" s="11"/>
      <c r="W110" s="11"/>
      <c r="X110" s="11"/>
      <c r="Y110" s="11"/>
      <c r="Z110" s="10"/>
    </row>
    <row r="111" spans="1:25" ht="16.5">
      <c r="A111" s="168" t="s">
        <v>1</v>
      </c>
      <c r="B111" s="207">
        <v>0.31</v>
      </c>
      <c r="C111" s="177"/>
      <c r="D111" s="173"/>
      <c r="E111" s="172"/>
      <c r="F111" s="172"/>
      <c r="G111" s="173"/>
      <c r="H111" s="204">
        <v>0.02</v>
      </c>
      <c r="I111" s="208">
        <v>5</v>
      </c>
      <c r="J111" s="96"/>
      <c r="K111" s="97"/>
      <c r="L111" s="95"/>
      <c r="M111" s="95"/>
      <c r="N111" s="62"/>
      <c r="O111" s="65"/>
      <c r="V111" s="11"/>
      <c r="W111" s="11"/>
      <c r="X111" s="11"/>
      <c r="Y111" s="11"/>
    </row>
    <row r="112" spans="1:26" ht="16.5">
      <c r="A112" s="168" t="s">
        <v>2</v>
      </c>
      <c r="B112" s="207">
        <v>0.45</v>
      </c>
      <c r="C112" s="177"/>
      <c r="D112" s="173"/>
      <c r="E112" s="172"/>
      <c r="F112" s="172"/>
      <c r="G112" s="172"/>
      <c r="H112" s="204">
        <v>0.02</v>
      </c>
      <c r="I112" s="208">
        <v>5</v>
      </c>
      <c r="J112" s="96"/>
      <c r="K112" s="97"/>
      <c r="L112" s="95"/>
      <c r="M112" s="95"/>
      <c r="N112" s="62"/>
      <c r="O112" s="62"/>
      <c r="P112" s="17"/>
      <c r="Q112" s="13"/>
      <c r="R112" s="17"/>
      <c r="S112" s="140"/>
      <c r="T112" s="140"/>
      <c r="V112" s="11"/>
      <c r="W112" s="11"/>
      <c r="X112" s="11"/>
      <c r="Y112" s="11"/>
      <c r="Z112" s="17"/>
    </row>
    <row r="113" spans="1:19" ht="16.5">
      <c r="A113" s="168" t="s">
        <v>3</v>
      </c>
      <c r="B113" s="207">
        <v>0.17</v>
      </c>
      <c r="C113" s="177"/>
      <c r="D113" s="173"/>
      <c r="E113" s="173"/>
      <c r="F113" s="172"/>
      <c r="G113" s="172"/>
      <c r="H113" s="204">
        <v>0.02</v>
      </c>
      <c r="I113" s="208">
        <v>8</v>
      </c>
      <c r="J113" s="96"/>
      <c r="K113" s="97"/>
      <c r="L113" s="95"/>
      <c r="M113" s="95"/>
      <c r="N113" s="62"/>
      <c r="O113" s="62"/>
      <c r="P113" s="62"/>
      <c r="Q113" s="62"/>
      <c r="R113" s="62"/>
      <c r="S113" s="70"/>
    </row>
    <row r="114" spans="1:19" ht="16.5">
      <c r="A114" s="168" t="s">
        <v>4</v>
      </c>
      <c r="B114" s="207">
        <v>0.04</v>
      </c>
      <c r="C114" s="177"/>
      <c r="D114" s="173"/>
      <c r="E114" s="173"/>
      <c r="F114" s="172"/>
      <c r="G114" s="172"/>
      <c r="H114" s="204">
        <v>0.02</v>
      </c>
      <c r="I114" s="208">
        <v>5</v>
      </c>
      <c r="J114" s="96"/>
      <c r="K114" s="97"/>
      <c r="L114" s="95"/>
      <c r="M114" s="95"/>
      <c r="N114" s="62"/>
      <c r="O114" s="62"/>
      <c r="P114" s="62"/>
      <c r="Q114" s="61"/>
      <c r="R114" s="61"/>
      <c r="S114" s="72"/>
    </row>
    <row r="115" spans="1:19" ht="16.5">
      <c r="A115" s="168" t="s">
        <v>5</v>
      </c>
      <c r="B115" s="207">
        <v>0.21</v>
      </c>
      <c r="C115" s="177"/>
      <c r="D115" s="173"/>
      <c r="E115" s="173"/>
      <c r="F115" s="172"/>
      <c r="G115" s="173"/>
      <c r="H115" s="204">
        <v>0.03</v>
      </c>
      <c r="I115" s="208">
        <v>12</v>
      </c>
      <c r="J115" s="96"/>
      <c r="K115" s="97"/>
      <c r="L115" s="95"/>
      <c r="M115" s="95"/>
      <c r="N115" s="62"/>
      <c r="O115" s="62"/>
      <c r="P115" s="62"/>
      <c r="Q115" s="62"/>
      <c r="R115" s="62"/>
      <c r="S115" s="70"/>
    </row>
    <row r="116" spans="1:27" ht="16.5">
      <c r="A116" s="168" t="s">
        <v>6</v>
      </c>
      <c r="B116" s="207">
        <v>0.215</v>
      </c>
      <c r="C116" s="177"/>
      <c r="D116" s="173"/>
      <c r="E116" s="173"/>
      <c r="F116" s="172"/>
      <c r="G116" s="172"/>
      <c r="H116" s="204">
        <v>0.025</v>
      </c>
      <c r="I116" s="208">
        <v>5</v>
      </c>
      <c r="J116" s="62"/>
      <c r="K116" s="62"/>
      <c r="L116" s="59"/>
      <c r="M116" s="73"/>
      <c r="N116" s="62"/>
      <c r="O116" s="62"/>
      <c r="P116" s="32"/>
      <c r="Q116" s="33"/>
      <c r="R116" s="33"/>
      <c r="S116" s="36"/>
      <c r="T116" s="33"/>
      <c r="U116" s="33"/>
      <c r="V116" s="83"/>
      <c r="W116" s="35"/>
      <c r="X116" s="32"/>
      <c r="Y116" s="32"/>
      <c r="Z116" s="35"/>
      <c r="AA116" s="35"/>
    </row>
    <row r="117" spans="1:26" ht="16.5">
      <c r="A117" s="168" t="s">
        <v>7</v>
      </c>
      <c r="B117" s="207">
        <v>0.28</v>
      </c>
      <c r="C117" s="177"/>
      <c r="D117" s="173"/>
      <c r="E117" s="172"/>
      <c r="F117" s="172"/>
      <c r="G117" s="173"/>
      <c r="H117" s="204">
        <v>0.04</v>
      </c>
      <c r="I117" s="208">
        <v>7</v>
      </c>
      <c r="J117" s="39"/>
      <c r="K117" s="42"/>
      <c r="L117" s="39"/>
      <c r="M117" s="39"/>
      <c r="N117" s="74"/>
      <c r="O117" s="39"/>
      <c r="P117" s="40"/>
      <c r="Q117" s="40"/>
      <c r="R117" s="41"/>
      <c r="S117" s="40"/>
      <c r="T117" s="40"/>
      <c r="U117" s="39"/>
      <c r="V117" s="39"/>
      <c r="W117" s="39"/>
      <c r="X117" s="42"/>
      <c r="Y117" s="39"/>
      <c r="Z117" s="39"/>
    </row>
    <row r="118" spans="1:15" ht="16.5">
      <c r="A118" s="168" t="s">
        <v>8</v>
      </c>
      <c r="B118" s="207">
        <v>0.02</v>
      </c>
      <c r="C118" s="177"/>
      <c r="D118" s="173"/>
      <c r="E118" s="172"/>
      <c r="F118" s="172"/>
      <c r="G118" s="172"/>
      <c r="H118" s="204">
        <v>0.02</v>
      </c>
      <c r="I118" s="208">
        <v>5</v>
      </c>
      <c r="J118" s="93"/>
      <c r="K118" s="97"/>
      <c r="L118" s="97"/>
      <c r="M118" s="95"/>
      <c r="N118" s="62"/>
      <c r="O118" s="62"/>
    </row>
    <row r="119" spans="1:26" ht="16.5">
      <c r="A119" s="168" t="s">
        <v>9</v>
      </c>
      <c r="B119" s="207">
        <v>0.02</v>
      </c>
      <c r="C119" s="177"/>
      <c r="D119" s="173"/>
      <c r="E119" s="173"/>
      <c r="F119" s="172"/>
      <c r="G119" s="172"/>
      <c r="H119" s="204">
        <v>0.03</v>
      </c>
      <c r="I119" s="208">
        <v>6</v>
      </c>
      <c r="J119" s="93"/>
      <c r="K119" s="97"/>
      <c r="L119" s="97"/>
      <c r="M119" s="95"/>
      <c r="N119" s="64"/>
      <c r="O119" s="62"/>
      <c r="P119" s="140"/>
      <c r="Q119" s="140"/>
      <c r="R119" s="140"/>
      <c r="S119" s="140"/>
      <c r="T119" s="140"/>
      <c r="U119" s="140"/>
      <c r="V119" s="17"/>
      <c r="W119" s="11"/>
      <c r="X119" s="11"/>
      <c r="Y119" s="11"/>
      <c r="Z119" s="140"/>
    </row>
    <row r="120" spans="1:26" ht="16.5">
      <c r="A120" s="168" t="s">
        <v>10</v>
      </c>
      <c r="B120" s="207">
        <v>0.84</v>
      </c>
      <c r="C120" s="177"/>
      <c r="D120" s="173"/>
      <c r="E120" s="172"/>
      <c r="F120" s="172"/>
      <c r="G120" s="172"/>
      <c r="H120" s="204">
        <v>0.03</v>
      </c>
      <c r="I120" s="208">
        <v>6</v>
      </c>
      <c r="J120" s="116"/>
      <c r="K120" s="119"/>
      <c r="L120" s="97"/>
      <c r="M120" s="118"/>
      <c r="N120" s="62"/>
      <c r="O120" s="62"/>
      <c r="P120" s="140"/>
      <c r="Q120" s="140"/>
      <c r="R120" s="140"/>
      <c r="S120" s="140"/>
      <c r="T120" s="140"/>
      <c r="U120" s="140"/>
      <c r="V120" s="17"/>
      <c r="W120" s="11"/>
      <c r="X120" s="11"/>
      <c r="Y120" s="11"/>
      <c r="Z120" s="140"/>
    </row>
    <row r="121" spans="1:26" ht="12.75">
      <c r="A121" s="185" t="s">
        <v>150</v>
      </c>
      <c r="B121" s="186">
        <f>AVERAGE(B109:B120)</f>
        <v>0.28791666666666665</v>
      </c>
      <c r="C121" s="186"/>
      <c r="D121" s="186"/>
      <c r="E121" s="186"/>
      <c r="F121" s="186"/>
      <c r="G121" s="186"/>
      <c r="H121" s="186">
        <f>AVERAGE(H109:H120)</f>
        <v>0.024583333333333336</v>
      </c>
      <c r="I121" s="186">
        <f>AVERAGE(I109:I120)</f>
        <v>6.166666666666667</v>
      </c>
      <c r="J121" s="93"/>
      <c r="K121" s="97"/>
      <c r="L121" s="97"/>
      <c r="M121" s="95"/>
      <c r="N121" s="62"/>
      <c r="O121" s="62"/>
      <c r="P121" s="140"/>
      <c r="Q121" s="140"/>
      <c r="R121" s="140"/>
      <c r="S121" s="140"/>
      <c r="T121" s="140"/>
      <c r="U121" s="140"/>
      <c r="V121" s="17"/>
      <c r="W121" s="11"/>
      <c r="X121" s="11"/>
      <c r="Y121" s="11"/>
      <c r="Z121" s="140"/>
    </row>
    <row r="122" spans="1:26" ht="12.75">
      <c r="A122" s="90"/>
      <c r="B122" s="91"/>
      <c r="C122" s="93"/>
      <c r="D122" s="93"/>
      <c r="E122" s="98"/>
      <c r="F122" s="93"/>
      <c r="G122" s="93"/>
      <c r="H122" s="93"/>
      <c r="I122" s="95"/>
      <c r="J122" s="93"/>
      <c r="K122" s="97"/>
      <c r="L122" s="97"/>
      <c r="M122" s="95"/>
      <c r="N122" s="62"/>
      <c r="O122" s="62"/>
      <c r="P122" s="140"/>
      <c r="Q122" s="140"/>
      <c r="R122" s="140"/>
      <c r="S122" s="140"/>
      <c r="T122" s="140"/>
      <c r="U122" s="140"/>
      <c r="V122" s="17"/>
      <c r="W122" s="11"/>
      <c r="X122" s="11"/>
      <c r="Y122" s="11"/>
      <c r="Z122" s="140"/>
    </row>
    <row r="123" spans="1:26" ht="12.75">
      <c r="A123" s="114"/>
      <c r="B123" s="115"/>
      <c r="C123" s="116"/>
      <c r="D123" s="116"/>
      <c r="E123" s="117"/>
      <c r="F123" s="116"/>
      <c r="G123" s="116"/>
      <c r="H123" s="116"/>
      <c r="I123" s="118"/>
      <c r="J123" s="116"/>
      <c r="K123" s="97"/>
      <c r="L123" s="97"/>
      <c r="M123" s="118"/>
      <c r="N123" s="7"/>
      <c r="O123" s="62"/>
      <c r="P123" s="140"/>
      <c r="Q123" s="140"/>
      <c r="R123" s="140"/>
      <c r="S123" s="140"/>
      <c r="T123" s="140"/>
      <c r="U123" s="140"/>
      <c r="V123" s="17"/>
      <c r="W123" s="11"/>
      <c r="X123" s="11"/>
      <c r="Y123" s="11"/>
      <c r="Z123" s="140"/>
    </row>
    <row r="124" spans="1:26" ht="16.5">
      <c r="A124" s="220" t="s">
        <v>153</v>
      </c>
      <c r="B124" s="220"/>
      <c r="C124" s="220"/>
      <c r="D124" s="220"/>
      <c r="E124" s="98"/>
      <c r="F124" s="93"/>
      <c r="G124" s="93"/>
      <c r="H124" s="93"/>
      <c r="I124" s="95"/>
      <c r="J124" s="93"/>
      <c r="K124" s="97"/>
      <c r="L124" s="97"/>
      <c r="M124" s="95"/>
      <c r="N124" s="7"/>
      <c r="O124" s="62"/>
      <c r="P124" s="140"/>
      <c r="Q124" s="140"/>
      <c r="R124" s="140"/>
      <c r="S124" s="140"/>
      <c r="T124" s="140"/>
      <c r="U124" s="140"/>
      <c r="V124" s="17"/>
      <c r="W124" s="11"/>
      <c r="X124" s="11"/>
      <c r="Y124" s="11"/>
      <c r="Z124" s="140"/>
    </row>
    <row r="125" spans="1:26" ht="36">
      <c r="A125" s="195"/>
      <c r="B125" s="196" t="s">
        <v>157</v>
      </c>
      <c r="C125" s="196" t="s">
        <v>156</v>
      </c>
      <c r="D125" s="196" t="s">
        <v>13</v>
      </c>
      <c r="E125" s="194" t="s">
        <v>155</v>
      </c>
      <c r="F125" s="93"/>
      <c r="G125" s="93"/>
      <c r="H125" s="93"/>
      <c r="I125" s="95"/>
      <c r="J125" s="93"/>
      <c r="K125" s="97"/>
      <c r="L125" s="97"/>
      <c r="M125" s="95"/>
      <c r="N125" s="32"/>
      <c r="O125" s="62"/>
      <c r="P125" s="140"/>
      <c r="Q125" s="140"/>
      <c r="R125" s="140"/>
      <c r="S125" s="140"/>
      <c r="T125" s="140"/>
      <c r="U125" s="140"/>
      <c r="V125" s="17"/>
      <c r="W125" s="11"/>
      <c r="X125" s="11"/>
      <c r="Y125" s="11"/>
      <c r="Z125" s="140"/>
    </row>
    <row r="126" spans="1:26" ht="16.5">
      <c r="A126" s="169" t="s">
        <v>83</v>
      </c>
      <c r="B126" s="203">
        <v>0.2</v>
      </c>
      <c r="C126" s="192"/>
      <c r="D126" s="145">
        <v>0.02</v>
      </c>
      <c r="E126" s="145">
        <v>5</v>
      </c>
      <c r="F126" s="93"/>
      <c r="G126" s="93"/>
      <c r="H126" s="93"/>
      <c r="I126" s="95"/>
      <c r="J126" s="93"/>
      <c r="K126" s="97"/>
      <c r="L126" s="97"/>
      <c r="M126" s="95"/>
      <c r="N126" s="35"/>
      <c r="O126" s="62"/>
      <c r="P126" s="140"/>
      <c r="Q126" s="140"/>
      <c r="R126" s="140"/>
      <c r="S126" s="140"/>
      <c r="T126" s="140"/>
      <c r="U126" s="140"/>
      <c r="V126" s="17"/>
      <c r="W126" s="11"/>
      <c r="X126" s="11"/>
      <c r="Y126" s="11"/>
      <c r="Z126" s="140"/>
    </row>
    <row r="127" spans="1:26" ht="16.5">
      <c r="A127" s="169" t="s">
        <v>0</v>
      </c>
      <c r="B127" s="203">
        <v>0.2</v>
      </c>
      <c r="C127" s="193"/>
      <c r="D127" s="145">
        <v>0.02</v>
      </c>
      <c r="E127" s="145">
        <v>5</v>
      </c>
      <c r="F127" s="116"/>
      <c r="G127" s="116"/>
      <c r="H127" s="116"/>
      <c r="I127" s="118"/>
      <c r="J127" s="116"/>
      <c r="K127" s="97"/>
      <c r="L127" s="97"/>
      <c r="M127" s="118"/>
      <c r="N127" s="35"/>
      <c r="O127" s="62"/>
      <c r="P127" s="140"/>
      <c r="Q127" s="140"/>
      <c r="R127" s="140"/>
      <c r="S127" s="140"/>
      <c r="T127" s="140"/>
      <c r="U127" s="140"/>
      <c r="V127" s="17"/>
      <c r="W127" s="11"/>
      <c r="X127" s="11"/>
      <c r="Y127" s="11"/>
      <c r="Z127" s="140"/>
    </row>
    <row r="128" spans="1:26" ht="16.5">
      <c r="A128" s="169" t="s">
        <v>1</v>
      </c>
      <c r="B128" s="203">
        <v>0.4</v>
      </c>
      <c r="C128" s="192"/>
      <c r="D128" s="145">
        <v>0.02</v>
      </c>
      <c r="E128" s="145">
        <v>11.3</v>
      </c>
      <c r="F128" s="93"/>
      <c r="G128" s="93"/>
      <c r="H128" s="93"/>
      <c r="I128" s="95"/>
      <c r="J128" s="93"/>
      <c r="K128" s="97"/>
      <c r="L128" s="97"/>
      <c r="M128" s="95"/>
      <c r="N128" s="38"/>
      <c r="O128" s="62"/>
      <c r="P128" s="140"/>
      <c r="Q128" s="140"/>
      <c r="R128" s="140"/>
      <c r="S128" s="140"/>
      <c r="T128" s="140"/>
      <c r="U128" s="140"/>
      <c r="V128" s="17"/>
      <c r="W128" s="11"/>
      <c r="X128" s="11"/>
      <c r="Y128" s="11"/>
      <c r="Z128" s="140"/>
    </row>
    <row r="129" spans="1:26" ht="16.5">
      <c r="A129" s="169" t="s">
        <v>2</v>
      </c>
      <c r="B129" s="203">
        <v>0.25</v>
      </c>
      <c r="C129" s="192"/>
      <c r="D129" s="145">
        <v>0.035</v>
      </c>
      <c r="E129" s="145">
        <v>7</v>
      </c>
      <c r="F129" s="93"/>
      <c r="G129" s="93"/>
      <c r="H129" s="93"/>
      <c r="I129" s="95"/>
      <c r="J129" s="93"/>
      <c r="K129" s="97"/>
      <c r="L129" s="97"/>
      <c r="M129" s="95"/>
      <c r="N129" s="62"/>
      <c r="O129" s="62"/>
      <c r="P129" s="140"/>
      <c r="Q129" s="140"/>
      <c r="R129" s="140"/>
      <c r="S129" s="140"/>
      <c r="T129" s="140"/>
      <c r="U129" s="140"/>
      <c r="V129" s="17"/>
      <c r="W129" s="11"/>
      <c r="X129" s="11"/>
      <c r="Y129" s="11"/>
      <c r="Z129" s="140"/>
    </row>
    <row r="130" spans="1:26" ht="16.5">
      <c r="A130" s="169" t="s">
        <v>3</v>
      </c>
      <c r="B130" s="203">
        <v>0.2</v>
      </c>
      <c r="C130" s="192"/>
      <c r="D130" s="145">
        <v>0.025</v>
      </c>
      <c r="E130" s="145">
        <v>13</v>
      </c>
      <c r="F130" s="93"/>
      <c r="G130" s="93"/>
      <c r="H130" s="94"/>
      <c r="I130" s="95"/>
      <c r="J130" s="93"/>
      <c r="K130" s="97"/>
      <c r="L130" s="97"/>
      <c r="M130" s="95"/>
      <c r="N130" s="62"/>
      <c r="O130" s="62"/>
      <c r="P130" s="140"/>
      <c r="Q130" s="140"/>
      <c r="R130" s="140"/>
      <c r="S130" s="140"/>
      <c r="T130" s="140"/>
      <c r="U130" s="140"/>
      <c r="V130" s="17"/>
      <c r="W130" s="11"/>
      <c r="X130" s="11"/>
      <c r="Y130" s="11"/>
      <c r="Z130" s="140"/>
    </row>
    <row r="131" spans="1:15" ht="16.5">
      <c r="A131" s="169" t="s">
        <v>4</v>
      </c>
      <c r="B131" s="203">
        <v>0.33</v>
      </c>
      <c r="C131" s="192"/>
      <c r="D131" s="145">
        <v>0.028</v>
      </c>
      <c r="E131" s="202">
        <v>5</v>
      </c>
      <c r="F131" s="93"/>
      <c r="G131" s="93"/>
      <c r="H131" s="94"/>
      <c r="I131" s="95"/>
      <c r="J131" s="93"/>
      <c r="K131" s="97"/>
      <c r="L131" s="97"/>
      <c r="M131" s="95"/>
      <c r="N131" s="62"/>
      <c r="O131" s="62"/>
    </row>
    <row r="132" spans="1:15" ht="16.5">
      <c r="A132" s="169" t="s">
        <v>5</v>
      </c>
      <c r="B132" s="203">
        <v>0.4</v>
      </c>
      <c r="C132" s="193"/>
      <c r="D132" s="145">
        <v>0.022</v>
      </c>
      <c r="E132" s="145">
        <v>6</v>
      </c>
      <c r="F132" s="116"/>
      <c r="G132" s="116"/>
      <c r="H132" s="116"/>
      <c r="I132" s="118"/>
      <c r="J132" s="116"/>
      <c r="K132" s="97"/>
      <c r="L132" s="97"/>
      <c r="M132" s="118"/>
      <c r="N132" s="62"/>
      <c r="O132" s="62"/>
    </row>
    <row r="133" spans="1:15" ht="16.5">
      <c r="A133" s="169" t="s">
        <v>6</v>
      </c>
      <c r="B133" s="203">
        <v>0.35</v>
      </c>
      <c r="C133" s="192"/>
      <c r="D133" s="145">
        <v>0.024</v>
      </c>
      <c r="E133" s="202">
        <v>5</v>
      </c>
      <c r="F133" s="93"/>
      <c r="G133" s="93"/>
      <c r="H133" s="93"/>
      <c r="I133" s="95"/>
      <c r="J133" s="93"/>
      <c r="K133" s="97"/>
      <c r="L133" s="97"/>
      <c r="M133" s="95"/>
      <c r="N133" s="62"/>
      <c r="O133" s="62"/>
    </row>
    <row r="134" spans="1:15" ht="12" customHeight="1">
      <c r="A134" s="169" t="s">
        <v>7</v>
      </c>
      <c r="B134" s="203">
        <v>0.4</v>
      </c>
      <c r="C134" s="192"/>
      <c r="D134" s="145">
        <v>0.021</v>
      </c>
      <c r="E134" s="145">
        <v>5</v>
      </c>
      <c r="F134" s="93"/>
      <c r="G134" s="93"/>
      <c r="H134" s="93"/>
      <c r="I134" s="95"/>
      <c r="J134" s="93"/>
      <c r="K134" s="97"/>
      <c r="L134" s="97"/>
      <c r="M134" s="95"/>
      <c r="N134" s="62"/>
      <c r="O134" s="62"/>
    </row>
    <row r="135" spans="1:15" ht="16.5">
      <c r="A135" s="169" t="s">
        <v>8</v>
      </c>
      <c r="B135" s="203">
        <v>0.3</v>
      </c>
      <c r="C135" s="192"/>
      <c r="D135" s="145">
        <v>0.02</v>
      </c>
      <c r="E135" s="145">
        <v>6</v>
      </c>
      <c r="F135" s="120"/>
      <c r="G135" s="120"/>
      <c r="H135" s="93"/>
      <c r="I135" s="95"/>
      <c r="J135" s="93"/>
      <c r="K135" s="97"/>
      <c r="L135" s="97"/>
      <c r="M135" s="95"/>
      <c r="N135" s="62"/>
      <c r="O135" s="62"/>
    </row>
    <row r="136" spans="1:15" ht="16.5">
      <c r="A136" s="169" t="s">
        <v>9</v>
      </c>
      <c r="B136" s="203">
        <v>0.33</v>
      </c>
      <c r="C136" s="193"/>
      <c r="D136" s="145">
        <v>0.02</v>
      </c>
      <c r="E136" s="145">
        <v>6</v>
      </c>
      <c r="F136" s="116"/>
      <c r="G136" s="116"/>
      <c r="H136" s="116"/>
      <c r="I136" s="118"/>
      <c r="J136" s="116"/>
      <c r="K136" s="119"/>
      <c r="L136" s="119"/>
      <c r="M136" s="118"/>
      <c r="N136" s="62"/>
      <c r="O136" s="62"/>
    </row>
    <row r="137" spans="1:15" ht="16.5">
      <c r="A137" s="169" t="s">
        <v>10</v>
      </c>
      <c r="B137" s="203">
        <v>0.767</v>
      </c>
      <c r="C137" s="192"/>
      <c r="D137" s="145">
        <v>0.02</v>
      </c>
      <c r="E137" s="145">
        <v>5</v>
      </c>
      <c r="F137" s="93"/>
      <c r="G137" s="93"/>
      <c r="H137" s="93"/>
      <c r="I137" s="95"/>
      <c r="J137" s="93"/>
      <c r="K137" s="97"/>
      <c r="L137" s="97"/>
      <c r="M137" s="95"/>
      <c r="N137" s="71"/>
      <c r="O137" s="60"/>
    </row>
    <row r="138" spans="1:15" ht="16.5">
      <c r="A138" s="191" t="s">
        <v>154</v>
      </c>
      <c r="B138" s="192">
        <f>AVERAGE(B126:B137)</f>
        <v>0.34391666666666665</v>
      </c>
      <c r="C138" s="192"/>
      <c r="D138" s="192">
        <f>AVERAGE(D126:D137)</f>
        <v>0.022916666666666665</v>
      </c>
      <c r="E138" s="192">
        <f>AVERAGE(E126:E137)</f>
        <v>6.608333333333333</v>
      </c>
      <c r="F138" s="93"/>
      <c r="G138" s="93"/>
      <c r="H138" s="93"/>
      <c r="I138" s="95"/>
      <c r="J138" s="93"/>
      <c r="K138" s="97"/>
      <c r="L138" s="97"/>
      <c r="M138" s="95"/>
      <c r="N138" s="74"/>
      <c r="O138" s="74"/>
    </row>
    <row r="139" spans="1:15" ht="16.5">
      <c r="A139" s="90"/>
      <c r="B139" s="91"/>
      <c r="C139" s="93"/>
      <c r="D139" s="93"/>
      <c r="E139" s="145"/>
      <c r="F139" s="93"/>
      <c r="G139" s="93"/>
      <c r="H139" s="93"/>
      <c r="I139" s="95"/>
      <c r="J139" s="93"/>
      <c r="K139" s="97"/>
      <c r="L139" s="97"/>
      <c r="M139" s="95"/>
      <c r="N139" s="62"/>
      <c r="O139" s="62"/>
    </row>
    <row r="140" spans="1:15" ht="16.5">
      <c r="A140" s="114"/>
      <c r="B140" s="115"/>
      <c r="C140" s="116"/>
      <c r="D140" s="116"/>
      <c r="E140" s="145"/>
      <c r="F140" s="116"/>
      <c r="G140" s="116"/>
      <c r="H140" s="116"/>
      <c r="I140" s="118"/>
      <c r="J140" s="116"/>
      <c r="K140" s="119"/>
      <c r="L140" s="119"/>
      <c r="M140" s="118"/>
      <c r="N140" s="60"/>
      <c r="O140" s="60"/>
    </row>
    <row r="141" spans="1:15" ht="12.75">
      <c r="A141" s="122"/>
      <c r="B141" s="123"/>
      <c r="C141" s="120"/>
      <c r="D141" s="120"/>
      <c r="E141" s="121"/>
      <c r="F141" s="120"/>
      <c r="G141" s="120"/>
      <c r="H141" s="120"/>
      <c r="I141" s="124"/>
      <c r="J141" s="120"/>
      <c r="K141" s="125"/>
      <c r="L141" s="125"/>
      <c r="M141" s="124"/>
      <c r="N141" s="62"/>
      <c r="O141" s="62"/>
    </row>
    <row r="142" spans="1:15" ht="12.75">
      <c r="A142" s="122"/>
      <c r="B142" s="123"/>
      <c r="C142" s="120"/>
      <c r="D142" s="120"/>
      <c r="E142" s="121"/>
      <c r="F142" s="120"/>
      <c r="G142" s="120"/>
      <c r="H142" s="120"/>
      <c r="I142" s="124"/>
      <c r="J142" s="120"/>
      <c r="K142" s="125"/>
      <c r="L142" s="125"/>
      <c r="M142" s="124"/>
      <c r="N142" s="62"/>
      <c r="O142" s="62"/>
    </row>
    <row r="143" spans="1:15" ht="12.75">
      <c r="A143" s="114"/>
      <c r="B143" s="115"/>
      <c r="C143" s="116"/>
      <c r="D143" s="116"/>
      <c r="E143" s="117"/>
      <c r="F143" s="116"/>
      <c r="G143" s="116"/>
      <c r="H143" s="116"/>
      <c r="I143" s="118"/>
      <c r="J143" s="116"/>
      <c r="K143" s="119"/>
      <c r="L143" s="119"/>
      <c r="M143" s="124"/>
      <c r="N143" s="60"/>
      <c r="O143" s="60"/>
    </row>
    <row r="144" spans="1:15" ht="12.75">
      <c r="A144" s="90"/>
      <c r="B144" s="91"/>
      <c r="C144" s="93"/>
      <c r="D144" s="93"/>
      <c r="E144" s="98"/>
      <c r="F144" s="93"/>
      <c r="G144" s="93"/>
      <c r="H144" s="93"/>
      <c r="I144" s="95"/>
      <c r="J144" s="93"/>
      <c r="K144" s="97"/>
      <c r="L144" s="97"/>
      <c r="M144" s="124"/>
      <c r="N144" s="62"/>
      <c r="O144" s="62"/>
    </row>
    <row r="145" spans="1:15" ht="12.75">
      <c r="A145" s="90"/>
      <c r="B145" s="91"/>
      <c r="C145" s="93"/>
      <c r="D145" s="93"/>
      <c r="E145" s="98"/>
      <c r="F145" s="93"/>
      <c r="G145" s="93"/>
      <c r="H145" s="93"/>
      <c r="I145" s="97"/>
      <c r="J145" s="93"/>
      <c r="K145" s="97"/>
      <c r="L145" s="97"/>
      <c r="M145" s="124"/>
      <c r="N145" s="62"/>
      <c r="O145" s="62"/>
    </row>
    <row r="146" spans="1:15" ht="12.75">
      <c r="A146" s="114"/>
      <c r="B146" s="115"/>
      <c r="C146" s="116"/>
      <c r="D146" s="116"/>
      <c r="E146" s="117"/>
      <c r="F146" s="116"/>
      <c r="G146" s="116"/>
      <c r="H146" s="116"/>
      <c r="I146" s="118"/>
      <c r="J146" s="116"/>
      <c r="K146" s="119"/>
      <c r="L146" s="119"/>
      <c r="M146" s="118"/>
      <c r="N146" s="62"/>
      <c r="O146" s="62"/>
    </row>
    <row r="147" spans="1:15" ht="12.75">
      <c r="A147" s="90"/>
      <c r="B147" s="91"/>
      <c r="C147" s="93"/>
      <c r="D147" s="93"/>
      <c r="E147" s="98"/>
      <c r="F147" s="93"/>
      <c r="G147" s="93"/>
      <c r="H147" s="93"/>
      <c r="I147" s="95"/>
      <c r="J147" s="93"/>
      <c r="K147" s="97"/>
      <c r="L147" s="97"/>
      <c r="M147" s="95"/>
      <c r="N147" s="78"/>
      <c r="O147" s="77"/>
    </row>
    <row r="148" spans="1:15" ht="12.75">
      <c r="A148" s="90"/>
      <c r="B148" s="91"/>
      <c r="C148" s="93"/>
      <c r="D148" s="93"/>
      <c r="E148" s="98"/>
      <c r="F148" s="93"/>
      <c r="G148" s="93"/>
      <c r="H148" s="93"/>
      <c r="I148" s="95"/>
      <c r="J148" s="93"/>
      <c r="K148" s="97"/>
      <c r="L148" s="97"/>
      <c r="M148" s="95"/>
      <c r="N148" s="61"/>
      <c r="O148" s="61"/>
    </row>
    <row r="149" spans="1:15" ht="12.75">
      <c r="A149" s="114"/>
      <c r="B149" s="115"/>
      <c r="C149" s="116"/>
      <c r="D149" s="116"/>
      <c r="E149" s="117"/>
      <c r="F149" s="116"/>
      <c r="G149" s="116"/>
      <c r="H149" s="116"/>
      <c r="I149" s="118"/>
      <c r="J149" s="116"/>
      <c r="K149" s="119"/>
      <c r="L149" s="119"/>
      <c r="M149" s="118"/>
      <c r="N149" s="38"/>
      <c r="O149" s="38"/>
    </row>
    <row r="150" spans="1:15" ht="12.75">
      <c r="A150" s="90"/>
      <c r="B150" s="91"/>
      <c r="C150" s="93"/>
      <c r="D150" s="93"/>
      <c r="E150" s="98"/>
      <c r="F150" s="93"/>
      <c r="G150" s="93"/>
      <c r="H150" s="93"/>
      <c r="I150" s="95"/>
      <c r="J150" s="93"/>
      <c r="K150" s="97"/>
      <c r="L150" s="97"/>
      <c r="M150" s="95"/>
      <c r="N150" s="55"/>
      <c r="O150" s="55"/>
    </row>
    <row r="151" spans="1:15" ht="12.75">
      <c r="A151" s="90"/>
      <c r="B151" s="92"/>
      <c r="C151" s="93"/>
      <c r="D151" s="93"/>
      <c r="E151" s="98"/>
      <c r="F151" s="93"/>
      <c r="G151" s="93"/>
      <c r="H151" s="93"/>
      <c r="I151" s="95"/>
      <c r="J151" s="93"/>
      <c r="K151" s="97"/>
      <c r="L151" s="97"/>
      <c r="M151" s="95"/>
      <c r="N151" s="38"/>
      <c r="O151" s="38"/>
    </row>
    <row r="152" spans="1:15" ht="12.75">
      <c r="A152" s="90"/>
      <c r="B152" s="91"/>
      <c r="C152" s="93"/>
      <c r="D152" s="93"/>
      <c r="E152" s="98"/>
      <c r="F152" s="93"/>
      <c r="G152" s="93"/>
      <c r="H152" s="93"/>
      <c r="I152" s="95"/>
      <c r="J152" s="93"/>
      <c r="K152" s="97"/>
      <c r="L152" s="97"/>
      <c r="M152" s="95"/>
      <c r="N152" s="38"/>
      <c r="O152" s="38"/>
    </row>
    <row r="153" spans="1:15" ht="12.75">
      <c r="A153" s="114"/>
      <c r="B153" s="115"/>
      <c r="C153" s="116"/>
      <c r="D153" s="116"/>
      <c r="E153" s="117"/>
      <c r="F153" s="116"/>
      <c r="G153" s="116"/>
      <c r="H153" s="116"/>
      <c r="I153" s="118"/>
      <c r="J153" s="116"/>
      <c r="K153" s="97"/>
      <c r="L153" s="97"/>
      <c r="M153" s="95"/>
      <c r="N153" s="66"/>
      <c r="O153" s="66"/>
    </row>
    <row r="154" spans="1:15" ht="12.75">
      <c r="A154" s="90"/>
      <c r="B154" s="91"/>
      <c r="C154" s="93"/>
      <c r="D154" s="93"/>
      <c r="E154" s="98"/>
      <c r="F154" s="93"/>
      <c r="G154" s="93"/>
      <c r="H154" s="93"/>
      <c r="I154" s="95"/>
      <c r="J154" s="93"/>
      <c r="K154" s="97"/>
      <c r="L154" s="97"/>
      <c r="M154" s="95"/>
      <c r="N154" s="66"/>
      <c r="O154" s="66"/>
    </row>
    <row r="155" spans="1:15" ht="12.75">
      <c r="A155" s="90"/>
      <c r="B155" s="91"/>
      <c r="C155" s="93"/>
      <c r="D155" s="93"/>
      <c r="E155" s="98"/>
      <c r="F155" s="93"/>
      <c r="G155" s="93"/>
      <c r="H155" s="93"/>
      <c r="I155" s="95"/>
      <c r="J155" s="93"/>
      <c r="K155" s="97"/>
      <c r="L155" s="97"/>
      <c r="M155" s="95"/>
      <c r="N155" s="66"/>
      <c r="O155" s="66"/>
    </row>
    <row r="156" spans="1:15" ht="12.75">
      <c r="A156" s="90"/>
      <c r="B156" s="92"/>
      <c r="C156" s="93"/>
      <c r="D156" s="93"/>
      <c r="E156" s="98"/>
      <c r="F156" s="93"/>
      <c r="G156" s="93"/>
      <c r="H156" s="93"/>
      <c r="I156" s="95"/>
      <c r="J156" s="93"/>
      <c r="K156" s="97"/>
      <c r="L156" s="97"/>
      <c r="M156" s="95"/>
      <c r="N156" s="133"/>
      <c r="O156" s="66"/>
    </row>
    <row r="157" spans="1:15" ht="12.75">
      <c r="A157" s="114"/>
      <c r="B157" s="115"/>
      <c r="C157" s="116"/>
      <c r="D157" s="116"/>
      <c r="E157" s="117"/>
      <c r="F157" s="116"/>
      <c r="G157" s="116"/>
      <c r="H157" s="116"/>
      <c r="I157" s="118"/>
      <c r="J157" s="116"/>
      <c r="K157" s="119"/>
      <c r="L157" s="119"/>
      <c r="M157" s="118"/>
      <c r="N157" s="134"/>
      <c r="O157" s="45"/>
    </row>
    <row r="158" spans="1:15" ht="12.75">
      <c r="A158" s="90"/>
      <c r="B158" s="91"/>
      <c r="C158" s="93"/>
      <c r="D158" s="93"/>
      <c r="E158" s="98"/>
      <c r="F158" s="93"/>
      <c r="G158" s="93"/>
      <c r="H158" s="93"/>
      <c r="I158" s="95"/>
      <c r="J158" s="93"/>
      <c r="K158" s="97"/>
      <c r="L158" s="97"/>
      <c r="M158" s="95"/>
      <c r="N158" s="45"/>
      <c r="O158" s="45"/>
    </row>
    <row r="159" spans="1:15" ht="12.75">
      <c r="A159" s="90"/>
      <c r="B159" s="91"/>
      <c r="C159" s="93"/>
      <c r="D159" s="93"/>
      <c r="E159" s="98"/>
      <c r="F159" s="93"/>
      <c r="G159" s="93"/>
      <c r="H159" s="93"/>
      <c r="I159" s="95"/>
      <c r="J159" s="93"/>
      <c r="K159" s="97"/>
      <c r="L159" s="97"/>
      <c r="M159" s="95"/>
      <c r="N159" s="45"/>
      <c r="O159" s="45"/>
    </row>
    <row r="160" spans="1:15" ht="12.75">
      <c r="A160" s="114"/>
      <c r="B160" s="115"/>
      <c r="C160" s="116"/>
      <c r="D160" s="116"/>
      <c r="E160" s="117"/>
      <c r="F160" s="116"/>
      <c r="G160" s="116"/>
      <c r="H160" s="116"/>
      <c r="I160" s="118"/>
      <c r="J160" s="116"/>
      <c r="K160" s="119"/>
      <c r="L160" s="119"/>
      <c r="M160" s="118"/>
      <c r="N160" s="45"/>
      <c r="O160" s="45"/>
    </row>
    <row r="161" spans="1:15" ht="12.75">
      <c r="A161" s="90"/>
      <c r="B161" s="91"/>
      <c r="C161" s="93"/>
      <c r="D161" s="93"/>
      <c r="E161" s="98"/>
      <c r="F161" s="93"/>
      <c r="G161" s="93"/>
      <c r="H161" s="93"/>
      <c r="I161" s="95"/>
      <c r="J161" s="93"/>
      <c r="K161" s="97"/>
      <c r="L161" s="97"/>
      <c r="M161" s="95"/>
      <c r="N161" s="135"/>
      <c r="O161" s="135"/>
    </row>
    <row r="162" spans="1:15" ht="12.75">
      <c r="A162" s="90"/>
      <c r="B162" s="92"/>
      <c r="C162" s="93"/>
      <c r="D162" s="93"/>
      <c r="E162" s="98"/>
      <c r="F162" s="93"/>
      <c r="G162" s="93"/>
      <c r="H162" s="93"/>
      <c r="I162" s="95"/>
      <c r="J162" s="93"/>
      <c r="K162" s="97"/>
      <c r="L162" s="97"/>
      <c r="M162" s="95"/>
      <c r="N162" s="7"/>
      <c r="O162" s="7"/>
    </row>
    <row r="163" spans="1:15" ht="12.75">
      <c r="A163" s="90"/>
      <c r="B163" s="91"/>
      <c r="C163" s="93"/>
      <c r="D163" s="93"/>
      <c r="E163" s="98"/>
      <c r="F163" s="93"/>
      <c r="G163" s="93"/>
      <c r="H163" s="93"/>
      <c r="I163" s="95"/>
      <c r="J163" s="93"/>
      <c r="K163" s="97"/>
      <c r="L163" s="97"/>
      <c r="M163" s="95"/>
      <c r="N163" s="7"/>
      <c r="O163" s="7"/>
    </row>
    <row r="164" spans="1:15" ht="12.75">
      <c r="A164" s="114"/>
      <c r="B164" s="115"/>
      <c r="C164" s="116"/>
      <c r="D164" s="116"/>
      <c r="E164" s="117"/>
      <c r="F164" s="116"/>
      <c r="G164" s="116"/>
      <c r="H164" s="116"/>
      <c r="I164" s="118"/>
      <c r="J164" s="116"/>
      <c r="K164" s="119"/>
      <c r="L164" s="119"/>
      <c r="M164" s="118"/>
      <c r="N164" s="7"/>
      <c r="O164" s="7"/>
    </row>
    <row r="165" spans="1:15" ht="12.75">
      <c r="A165" s="90"/>
      <c r="B165" s="91"/>
      <c r="C165" s="93"/>
      <c r="D165" s="93"/>
      <c r="E165" s="98"/>
      <c r="F165" s="93"/>
      <c r="G165" s="93"/>
      <c r="H165" s="93"/>
      <c r="I165" s="95"/>
      <c r="J165" s="93"/>
      <c r="K165" s="97"/>
      <c r="L165" s="97"/>
      <c r="M165" s="95"/>
      <c r="N165" s="7"/>
      <c r="O165" s="7"/>
    </row>
    <row r="166" spans="1:15" ht="12.75">
      <c r="A166" s="90"/>
      <c r="B166" s="91"/>
      <c r="C166" s="93"/>
      <c r="D166" s="93"/>
      <c r="E166" s="98"/>
      <c r="F166" s="93"/>
      <c r="G166" s="93"/>
      <c r="H166" s="93"/>
      <c r="I166" s="95"/>
      <c r="J166" s="93"/>
      <c r="K166" s="97"/>
      <c r="L166" s="97"/>
      <c r="M166" s="95"/>
      <c r="N166" s="7"/>
      <c r="O166" s="7"/>
    </row>
    <row r="167" spans="1:15" ht="12.75">
      <c r="A167" s="114"/>
      <c r="B167" s="115"/>
      <c r="C167" s="116"/>
      <c r="D167" s="116"/>
      <c r="E167" s="117"/>
      <c r="F167" s="116"/>
      <c r="G167" s="116"/>
      <c r="H167" s="116"/>
      <c r="I167" s="118"/>
      <c r="J167" s="116"/>
      <c r="K167" s="97"/>
      <c r="L167" s="119"/>
      <c r="M167" s="95"/>
      <c r="N167" s="7"/>
      <c r="O167" s="7"/>
    </row>
    <row r="168" spans="1:15" ht="12.75">
      <c r="A168" s="90"/>
      <c r="B168" s="91"/>
      <c r="C168" s="93"/>
      <c r="D168" s="93"/>
      <c r="E168" s="98"/>
      <c r="F168" s="93"/>
      <c r="G168" s="93"/>
      <c r="H168" s="93"/>
      <c r="I168" s="95"/>
      <c r="J168" s="93"/>
      <c r="K168" s="97"/>
      <c r="L168" s="119"/>
      <c r="M168" s="95"/>
      <c r="N168" s="7"/>
      <c r="O168" s="7"/>
    </row>
    <row r="169" spans="1:15" ht="12.75">
      <c r="A169" s="90"/>
      <c r="B169" s="91"/>
      <c r="C169" s="93"/>
      <c r="D169" s="93"/>
      <c r="E169" s="98"/>
      <c r="F169" s="93"/>
      <c r="G169" s="93"/>
      <c r="H169" s="93"/>
      <c r="I169" s="95"/>
      <c r="J169" s="93"/>
      <c r="K169" s="97"/>
      <c r="L169" s="119"/>
      <c r="M169" s="95"/>
      <c r="N169" s="7"/>
      <c r="O169" s="7"/>
    </row>
    <row r="170" spans="1:15" ht="12.75">
      <c r="A170" s="114"/>
      <c r="B170" s="115"/>
      <c r="C170" s="116"/>
      <c r="D170" s="116"/>
      <c r="E170" s="117"/>
      <c r="F170" s="116"/>
      <c r="G170" s="116"/>
      <c r="H170" s="116"/>
      <c r="I170" s="118"/>
      <c r="J170" s="116"/>
      <c r="K170" s="119"/>
      <c r="L170" s="97"/>
      <c r="M170" s="95"/>
      <c r="N170" s="7"/>
      <c r="O170" s="7"/>
    </row>
    <row r="171" spans="1:15" ht="12.75">
      <c r="A171" s="86"/>
      <c r="B171" s="86"/>
      <c r="C171" s="126"/>
      <c r="D171" s="126"/>
      <c r="E171" s="126"/>
      <c r="F171" s="126"/>
      <c r="G171" s="126"/>
      <c r="H171" s="126"/>
      <c r="I171" s="126"/>
      <c r="J171" s="126"/>
      <c r="K171" s="132"/>
      <c r="L171" s="132"/>
      <c r="M171" s="132"/>
      <c r="N171" s="7"/>
      <c r="O171" s="7"/>
    </row>
    <row r="172" spans="1:19" ht="12.75">
      <c r="A172" s="127"/>
      <c r="B172" s="128"/>
      <c r="C172" s="85"/>
      <c r="D172" s="85"/>
      <c r="E172" s="85"/>
      <c r="F172" s="85"/>
      <c r="G172" s="85"/>
      <c r="H172" s="85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127"/>
      <c r="B173" s="85"/>
      <c r="C173" s="128"/>
      <c r="D173" s="85"/>
      <c r="E173" s="85"/>
      <c r="F173" s="85"/>
      <c r="G173" s="85"/>
      <c r="H173" s="85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127"/>
      <c r="B174" s="85"/>
      <c r="C174" s="158"/>
      <c r="D174" s="158"/>
      <c r="E174" s="85"/>
      <c r="F174" s="85"/>
      <c r="G174" s="85"/>
      <c r="H174" s="85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127"/>
      <c r="B175" s="85"/>
      <c r="C175" s="158"/>
      <c r="D175" s="158"/>
      <c r="E175" s="85"/>
      <c r="F175" s="85"/>
      <c r="G175" s="85"/>
      <c r="H175" s="85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127"/>
      <c r="B176" s="85"/>
      <c r="C176" s="158"/>
      <c r="D176" s="158"/>
      <c r="E176" s="85"/>
      <c r="F176" s="85"/>
      <c r="G176" s="85"/>
      <c r="H176" s="85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85"/>
      <c r="B177" s="85"/>
      <c r="C177" s="158"/>
      <c r="D177" s="158"/>
      <c r="E177" s="85"/>
      <c r="F177" s="85"/>
      <c r="G177" s="85"/>
      <c r="H177" s="85"/>
      <c r="I177" s="85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85"/>
      <c r="B178" s="85"/>
      <c r="C178" s="158"/>
      <c r="D178" s="158"/>
      <c r="E178" s="85"/>
      <c r="F178" s="85"/>
      <c r="G178" s="85"/>
      <c r="H178" s="85"/>
      <c r="I178" s="85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85"/>
      <c r="B179" s="85"/>
      <c r="C179" s="158"/>
      <c r="D179" s="158"/>
      <c r="E179" s="85"/>
      <c r="F179" s="129"/>
      <c r="G179" s="130"/>
      <c r="H179" s="130"/>
      <c r="I179" s="85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85"/>
      <c r="B180" s="85"/>
      <c r="C180" s="158"/>
      <c r="D180" s="158"/>
      <c r="E180" s="85"/>
      <c r="F180" s="131"/>
      <c r="G180" s="128"/>
      <c r="H180" s="128"/>
      <c r="I180" s="85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85"/>
      <c r="B181" s="85"/>
      <c r="C181" s="158"/>
      <c r="D181" s="85"/>
      <c r="E181" s="85"/>
      <c r="F181" s="131"/>
      <c r="G181" s="128"/>
      <c r="H181" s="128"/>
      <c r="I181" s="85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85"/>
      <c r="B182" s="159"/>
      <c r="C182" s="160"/>
      <c r="D182" s="148"/>
      <c r="E182" s="148"/>
      <c r="F182" s="131"/>
      <c r="G182" s="128"/>
      <c r="H182" s="128"/>
      <c r="I182" s="85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85"/>
      <c r="B183" s="159"/>
      <c r="C183" s="159"/>
      <c r="D183" s="85"/>
      <c r="E183" s="85"/>
      <c r="F183" s="131"/>
      <c r="G183" s="128"/>
      <c r="H183" s="128"/>
      <c r="I183" s="85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85"/>
      <c r="B184" s="159"/>
      <c r="C184" s="159"/>
      <c r="D184" s="85"/>
      <c r="E184" s="85"/>
      <c r="F184" s="131"/>
      <c r="G184" s="128"/>
      <c r="H184" s="128"/>
      <c r="I184" s="85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85"/>
      <c r="B185" s="159"/>
      <c r="C185" s="159"/>
      <c r="D185" s="85"/>
      <c r="E185" s="85"/>
      <c r="F185" s="131"/>
      <c r="G185" s="128"/>
      <c r="H185" s="128"/>
      <c r="I185" s="85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85"/>
      <c r="B186" s="85"/>
      <c r="C186" s="128"/>
      <c r="D186" s="85"/>
      <c r="E186" s="85"/>
      <c r="F186" s="131"/>
      <c r="G186" s="128"/>
      <c r="H186" s="128"/>
      <c r="I186" s="85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85"/>
      <c r="B187" s="85"/>
      <c r="C187" s="128"/>
      <c r="D187" s="85"/>
      <c r="E187" s="85"/>
      <c r="F187" s="131"/>
      <c r="G187" s="128"/>
      <c r="H187" s="128"/>
      <c r="I187" s="85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131"/>
      <c r="G188" s="128"/>
      <c r="H188" s="128"/>
      <c r="I188" s="85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131"/>
      <c r="G189" s="128"/>
      <c r="H189" s="128"/>
      <c r="I189" s="85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85"/>
      <c r="G190" s="85"/>
      <c r="H190" s="85"/>
      <c r="I190" s="85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6"/>
      <c r="C200" s="76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9"/>
      <c r="B201" s="76"/>
      <c r="C201" s="76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6"/>
      <c r="C211" s="76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9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32"/>
      <c r="B215" s="32"/>
      <c r="C215" s="36"/>
      <c r="D215" s="34"/>
      <c r="E215" s="36"/>
      <c r="F215" s="32"/>
      <c r="G215" s="33"/>
      <c r="H215" s="33"/>
      <c r="I215" s="54"/>
      <c r="J215" s="32"/>
      <c r="K215" s="54"/>
      <c r="L215" s="54"/>
      <c r="M215" s="32"/>
      <c r="N215" s="32"/>
      <c r="O215" s="35"/>
      <c r="P215" s="54"/>
      <c r="Q215" s="35"/>
      <c r="R215" s="35"/>
      <c r="S215" s="54"/>
    </row>
    <row r="216" spans="1:19" ht="12.75">
      <c r="A216" s="32"/>
      <c r="B216" s="32"/>
      <c r="C216" s="36"/>
      <c r="D216" s="80"/>
      <c r="E216" s="36"/>
      <c r="F216" s="32"/>
      <c r="G216" s="37"/>
      <c r="H216" s="33"/>
      <c r="I216" s="35"/>
      <c r="J216" s="35"/>
      <c r="K216" s="35"/>
      <c r="L216" s="35"/>
      <c r="M216" s="35"/>
      <c r="N216" s="35"/>
      <c r="O216" s="35"/>
      <c r="P216" s="56"/>
      <c r="Q216" s="38"/>
      <c r="R216" s="38"/>
      <c r="S216" s="38"/>
    </row>
    <row r="217" spans="1:19" ht="12.75">
      <c r="A217" s="32"/>
      <c r="B217" s="32"/>
      <c r="C217" s="36"/>
      <c r="D217" s="36"/>
      <c r="E217" s="36"/>
      <c r="F217" s="35"/>
      <c r="G217" s="37"/>
      <c r="H217" s="37"/>
      <c r="I217" s="35"/>
      <c r="J217" s="35"/>
      <c r="K217" s="35"/>
      <c r="L217" s="35"/>
      <c r="M217" s="35"/>
      <c r="N217" s="35"/>
      <c r="O217" s="55"/>
      <c r="P217" s="55"/>
      <c r="Q217" s="55"/>
      <c r="R217" s="55"/>
      <c r="S217" s="55"/>
    </row>
    <row r="218" spans="1:19" ht="12.75">
      <c r="A218" s="39"/>
      <c r="B218" s="39"/>
      <c r="C218" s="41"/>
      <c r="D218" s="41"/>
      <c r="E218" s="41"/>
      <c r="F218" s="39"/>
      <c r="G218" s="40"/>
      <c r="H218" s="40"/>
      <c r="I218" s="39"/>
      <c r="J218" s="39"/>
      <c r="K218" s="39"/>
      <c r="L218" s="39"/>
      <c r="M218" s="42"/>
      <c r="N218" s="39"/>
      <c r="O218" s="39"/>
      <c r="P218" s="39"/>
      <c r="Q218" s="39"/>
      <c r="R218" s="39"/>
      <c r="S218" s="39"/>
    </row>
    <row r="219" spans="1:19" ht="12.75">
      <c r="A219" s="57"/>
      <c r="B219" s="58"/>
      <c r="C219" s="60"/>
      <c r="D219" s="60"/>
      <c r="E219" s="60"/>
      <c r="F219" s="58"/>
      <c r="G219" s="59"/>
      <c r="H219" s="59"/>
      <c r="I219" s="62"/>
      <c r="J219" s="62"/>
      <c r="K219" s="62"/>
      <c r="L219" s="62"/>
      <c r="M219" s="62"/>
      <c r="N219" s="71"/>
      <c r="O219" s="62"/>
      <c r="P219" s="74"/>
      <c r="Q219" s="62"/>
      <c r="R219" s="62"/>
      <c r="S219" s="61"/>
    </row>
    <row r="220" spans="1:19" ht="12.75">
      <c r="A220" s="57"/>
      <c r="B220" s="58"/>
      <c r="C220" s="60"/>
      <c r="D220" s="60"/>
      <c r="E220" s="60"/>
      <c r="F220" s="58"/>
      <c r="G220" s="59"/>
      <c r="H220" s="59"/>
      <c r="I220" s="62"/>
      <c r="J220" s="74"/>
      <c r="K220" s="62"/>
      <c r="L220" s="62"/>
      <c r="M220" s="62"/>
      <c r="N220" s="71"/>
      <c r="O220" s="62"/>
      <c r="P220" s="62"/>
      <c r="Q220" s="62"/>
      <c r="R220" s="62"/>
      <c r="S220" s="61"/>
    </row>
    <row r="221" spans="1:19" ht="12.75">
      <c r="A221" s="57"/>
      <c r="B221" s="58"/>
      <c r="C221" s="60"/>
      <c r="D221" s="60"/>
      <c r="E221" s="60"/>
      <c r="F221" s="58"/>
      <c r="G221" s="59"/>
      <c r="H221" s="59"/>
      <c r="I221" s="62"/>
      <c r="J221" s="62"/>
      <c r="K221" s="62"/>
      <c r="L221" s="62"/>
      <c r="M221" s="62"/>
      <c r="N221" s="71"/>
      <c r="O221" s="62"/>
      <c r="P221" s="62"/>
      <c r="Q221" s="62"/>
      <c r="R221" s="62"/>
      <c r="S221" s="62"/>
    </row>
    <row r="222" spans="1:19" ht="12.75">
      <c r="A222" s="57"/>
      <c r="B222" s="58"/>
      <c r="C222" s="60"/>
      <c r="D222" s="60"/>
      <c r="E222" s="60"/>
      <c r="F222" s="58"/>
      <c r="G222" s="59"/>
      <c r="H222" s="59"/>
      <c r="I222" s="62"/>
      <c r="J222" s="62"/>
      <c r="K222" s="62"/>
      <c r="L222" s="62"/>
      <c r="M222" s="62"/>
      <c r="N222" s="71"/>
      <c r="O222" s="62"/>
      <c r="P222" s="62"/>
      <c r="Q222" s="61"/>
      <c r="R222" s="61"/>
      <c r="S222" s="61"/>
    </row>
    <row r="223" spans="1:19" ht="12.75">
      <c r="A223" s="57"/>
      <c r="B223" s="58"/>
      <c r="C223" s="60"/>
      <c r="D223" s="60"/>
      <c r="E223" s="60"/>
      <c r="F223" s="58"/>
      <c r="G223" s="59"/>
      <c r="H223" s="59"/>
      <c r="I223" s="62"/>
      <c r="J223" s="62"/>
      <c r="K223" s="62"/>
      <c r="L223" s="74"/>
      <c r="M223" s="62"/>
      <c r="N223" s="71"/>
      <c r="O223" s="62"/>
      <c r="P223" s="62"/>
      <c r="Q223" s="62"/>
      <c r="R223" s="62"/>
      <c r="S223" s="74"/>
    </row>
    <row r="224" spans="1:19" ht="12.75">
      <c r="A224" s="57"/>
      <c r="B224" s="58"/>
      <c r="C224" s="60"/>
      <c r="D224" s="60"/>
      <c r="E224" s="60"/>
      <c r="F224" s="58"/>
      <c r="G224" s="59"/>
      <c r="H224" s="59"/>
      <c r="I224" s="62"/>
      <c r="J224" s="62"/>
      <c r="K224" s="62"/>
      <c r="L224" s="62"/>
      <c r="M224" s="62"/>
      <c r="N224" s="71"/>
      <c r="O224" s="62"/>
      <c r="P224" s="62"/>
      <c r="Q224" s="62"/>
      <c r="R224" s="62"/>
      <c r="S224" s="62"/>
    </row>
    <row r="225" spans="1:19" ht="12.75">
      <c r="A225" s="57"/>
      <c r="B225" s="58"/>
      <c r="C225" s="60"/>
      <c r="D225" s="60"/>
      <c r="E225" s="60"/>
      <c r="F225" s="68"/>
      <c r="G225" s="59"/>
      <c r="H225" s="59"/>
      <c r="I225" s="62"/>
      <c r="J225" s="62"/>
      <c r="K225" s="62"/>
      <c r="L225" s="62"/>
      <c r="M225" s="62"/>
      <c r="N225" s="71"/>
      <c r="O225" s="62"/>
      <c r="P225" s="62"/>
      <c r="Q225" s="62"/>
      <c r="R225" s="62"/>
      <c r="S225" s="62"/>
    </row>
    <row r="226" spans="1:19" ht="12.75">
      <c r="A226" s="57"/>
      <c r="B226" s="58"/>
      <c r="C226" s="60"/>
      <c r="D226" s="60"/>
      <c r="E226" s="60"/>
      <c r="F226" s="67"/>
      <c r="G226" s="59"/>
      <c r="H226" s="59"/>
      <c r="I226" s="67"/>
      <c r="J226" s="67"/>
      <c r="K226" s="62"/>
      <c r="L226" s="62"/>
      <c r="M226" s="62"/>
      <c r="N226" s="71"/>
      <c r="O226" s="62"/>
      <c r="P226" s="62"/>
      <c r="Q226" s="62"/>
      <c r="R226" s="62"/>
      <c r="S226" s="62"/>
    </row>
    <row r="227" spans="1:19" ht="12.75">
      <c r="A227" s="57"/>
      <c r="B227" s="58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</row>
    <row r="228" spans="1:19" ht="12.75">
      <c r="A228" s="57"/>
      <c r="B228" s="58"/>
      <c r="C228" s="60"/>
      <c r="D228" s="60"/>
      <c r="E228" s="60"/>
      <c r="F228" s="68"/>
      <c r="G228" s="59"/>
      <c r="H228" s="59"/>
      <c r="I228" s="62"/>
      <c r="J228" s="62"/>
      <c r="K228" s="74"/>
      <c r="L228" s="62"/>
      <c r="M228" s="74"/>
      <c r="N228" s="73"/>
      <c r="O228" s="74"/>
      <c r="P228" s="62"/>
      <c r="Q228" s="62"/>
      <c r="R228" s="62"/>
      <c r="S228" s="62"/>
    </row>
    <row r="229" spans="1:19" ht="12.75">
      <c r="A229" s="57"/>
      <c r="B229" s="58"/>
      <c r="C229" s="60"/>
      <c r="D229" s="60"/>
      <c r="E229" s="60"/>
      <c r="F229" s="68"/>
      <c r="G229" s="59"/>
      <c r="H229" s="59"/>
      <c r="I229" s="68"/>
      <c r="J229" s="68"/>
      <c r="K229" s="62"/>
      <c r="L229" s="62"/>
      <c r="M229" s="62"/>
      <c r="N229" s="71"/>
      <c r="O229" s="62"/>
      <c r="P229" s="62"/>
      <c r="Q229" s="62"/>
      <c r="R229" s="62"/>
      <c r="S229" s="62"/>
    </row>
    <row r="230" spans="1:19" ht="12.75">
      <c r="A230" s="57"/>
      <c r="B230" s="58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</row>
    <row r="231" spans="1:19" ht="12.75" hidden="1">
      <c r="A231" s="57"/>
      <c r="B231" s="58"/>
      <c r="C231" s="60"/>
      <c r="D231" s="60"/>
      <c r="E231" s="60"/>
      <c r="F231" s="68"/>
      <c r="G231" s="59"/>
      <c r="H231" s="59"/>
      <c r="I231" s="62"/>
      <c r="J231" s="62"/>
      <c r="K231" s="62"/>
      <c r="L231" s="62"/>
      <c r="M231" s="62"/>
      <c r="N231" s="71"/>
      <c r="O231" s="62"/>
      <c r="P231" s="62"/>
      <c r="Q231" s="62"/>
      <c r="R231" s="62"/>
      <c r="S231" s="62"/>
    </row>
    <row r="232" spans="1:19" ht="12.75" hidden="1">
      <c r="A232" s="57"/>
      <c r="B232" s="58"/>
      <c r="C232" s="60"/>
      <c r="D232" s="60"/>
      <c r="E232" s="60"/>
      <c r="F232" s="68"/>
      <c r="G232" s="59"/>
      <c r="H232" s="59"/>
      <c r="I232" s="68"/>
      <c r="J232" s="62"/>
      <c r="K232" s="62"/>
      <c r="L232" s="62"/>
      <c r="M232" s="62"/>
      <c r="N232" s="71"/>
      <c r="O232" s="62"/>
      <c r="P232" s="62"/>
      <c r="Q232" s="62"/>
      <c r="R232" s="62"/>
      <c r="S232" s="62"/>
    </row>
    <row r="233" spans="1:19" ht="12.75">
      <c r="A233" s="57"/>
      <c r="B233" s="58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</row>
    <row r="234" spans="1:19" ht="12.75">
      <c r="A234" s="57"/>
      <c r="B234" s="58"/>
      <c r="C234" s="60"/>
      <c r="D234" s="60"/>
      <c r="E234" s="60"/>
      <c r="F234" s="68"/>
      <c r="G234" s="59"/>
      <c r="H234" s="59"/>
      <c r="I234" s="62"/>
      <c r="J234" s="62"/>
      <c r="K234" s="62"/>
      <c r="L234" s="62"/>
      <c r="M234" s="62"/>
      <c r="N234" s="71"/>
      <c r="O234" s="62"/>
      <c r="P234" s="62"/>
      <c r="Q234" s="62"/>
      <c r="R234" s="62"/>
      <c r="S234" s="62"/>
    </row>
    <row r="235" spans="1:19" ht="12.75">
      <c r="A235" s="57"/>
      <c r="B235" s="58"/>
      <c r="C235" s="60"/>
      <c r="D235" s="60"/>
      <c r="E235" s="60"/>
      <c r="F235" s="68"/>
      <c r="G235" s="59"/>
      <c r="H235" s="59"/>
      <c r="I235" s="62"/>
      <c r="J235" s="62"/>
      <c r="K235" s="62"/>
      <c r="L235" s="62"/>
      <c r="M235" s="62"/>
      <c r="N235" s="71"/>
      <c r="O235" s="62"/>
      <c r="P235" s="62"/>
      <c r="Q235" s="62"/>
      <c r="R235" s="62"/>
      <c r="S235" s="62"/>
    </row>
    <row r="236" spans="1:19" ht="12.75">
      <c r="A236" s="57"/>
      <c r="B236" s="58"/>
      <c r="C236" s="60"/>
      <c r="D236" s="60"/>
      <c r="E236" s="60"/>
      <c r="F236" s="68"/>
      <c r="G236" s="59"/>
      <c r="H236" s="59"/>
      <c r="I236" s="62"/>
      <c r="J236" s="62"/>
      <c r="K236" s="62"/>
      <c r="L236" s="62"/>
      <c r="M236" s="62"/>
      <c r="N236" s="71"/>
      <c r="O236" s="62"/>
      <c r="P236" s="62"/>
      <c r="Q236" s="62"/>
      <c r="R236" s="62"/>
      <c r="S236" s="62"/>
    </row>
    <row r="237" spans="1:19" ht="12.75">
      <c r="A237" s="7"/>
      <c r="B237" s="7"/>
      <c r="C237" s="7"/>
      <c r="D237" s="77"/>
      <c r="E237" s="75"/>
      <c r="F237" s="7"/>
      <c r="G237" s="77"/>
      <c r="H237" s="77"/>
      <c r="I237" s="7"/>
      <c r="J237" s="7"/>
      <c r="K237" s="76"/>
      <c r="L237" s="7"/>
      <c r="M237" s="7"/>
      <c r="N237" s="7"/>
      <c r="O237" s="75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</sheetData>
  <mergeCells count="5">
    <mergeCell ref="A124:D124"/>
    <mergeCell ref="F1:G1"/>
    <mergeCell ref="A64:B64"/>
    <mergeCell ref="A83:B83"/>
    <mergeCell ref="A105:B105"/>
  </mergeCells>
  <printOptions headings="1"/>
  <pageMargins left="0.25" right="0.25" top="0.25" bottom="0.25" header="0.25" footer="0.25"/>
  <pageSetup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F30" sqref="F30"/>
    </sheetView>
  </sheetViews>
  <sheetFormatPr defaultColWidth="9.140625" defaultRowHeight="12.75"/>
  <cols>
    <col min="6" max="6" width="15.7109375" style="0" customWidth="1"/>
    <col min="7" max="7" width="12.28125" style="0" customWidth="1"/>
    <col min="8" max="8" width="7.8515625" style="0" customWidth="1"/>
    <col min="9" max="9" width="10.7109375" style="0" customWidth="1"/>
    <col min="10" max="10" width="12.7109375" style="0" customWidth="1"/>
  </cols>
  <sheetData>
    <row r="2" spans="1:9" ht="12.75">
      <c r="A2" s="8">
        <v>2000</v>
      </c>
      <c r="B2" s="8" t="s">
        <v>14</v>
      </c>
      <c r="C2" s="8" t="s">
        <v>18</v>
      </c>
      <c r="D2" s="8" t="s">
        <v>89</v>
      </c>
      <c r="E2" s="8"/>
      <c r="F2" s="9"/>
      <c r="G2" s="9"/>
      <c r="H2" s="10"/>
      <c r="I2" s="10"/>
    </row>
    <row r="3" spans="1:9" ht="12.75">
      <c r="A3" s="10"/>
      <c r="B3" s="10" t="s">
        <v>86</v>
      </c>
      <c r="C3" s="10" t="s">
        <v>85</v>
      </c>
      <c r="D3" s="10" t="s">
        <v>84</v>
      </c>
      <c r="E3" s="10"/>
      <c r="F3" s="10"/>
      <c r="G3" s="10"/>
      <c r="H3" s="10"/>
      <c r="I3" s="10"/>
    </row>
    <row r="4" spans="1:9" ht="12.75">
      <c r="A4" s="10"/>
      <c r="B4" s="10" t="s">
        <v>11</v>
      </c>
      <c r="C4" s="10" t="s">
        <v>87</v>
      </c>
      <c r="D4" s="10" t="s">
        <v>88</v>
      </c>
      <c r="E4" s="10"/>
      <c r="F4" s="10"/>
      <c r="G4" s="10"/>
      <c r="H4" s="10"/>
      <c r="I4" s="10"/>
    </row>
    <row r="5" spans="1:9" ht="15">
      <c r="A5" s="10" t="s">
        <v>83</v>
      </c>
      <c r="B5" s="205">
        <v>1.4</v>
      </c>
      <c r="C5" s="189">
        <v>42.4</v>
      </c>
      <c r="D5" s="205">
        <v>10.9</v>
      </c>
      <c r="E5" s="10"/>
      <c r="F5" s="10"/>
      <c r="G5" s="10"/>
      <c r="H5" s="10"/>
      <c r="I5" s="10"/>
    </row>
    <row r="6" spans="1:9" ht="15">
      <c r="A6" s="10" t="s">
        <v>0</v>
      </c>
      <c r="B6" s="205">
        <v>40.2</v>
      </c>
      <c r="C6" s="189">
        <v>41</v>
      </c>
      <c r="D6" s="205">
        <v>14.2</v>
      </c>
      <c r="E6" s="2"/>
      <c r="F6" s="2"/>
      <c r="G6" s="2"/>
      <c r="H6" s="10"/>
      <c r="I6" s="10"/>
    </row>
    <row r="7" spans="1:9" ht="15">
      <c r="A7" s="10" t="s">
        <v>1</v>
      </c>
      <c r="B7" s="205">
        <v>46.1</v>
      </c>
      <c r="C7" s="189">
        <v>34</v>
      </c>
      <c r="D7" s="205">
        <v>14.6</v>
      </c>
      <c r="E7" s="2"/>
      <c r="F7" s="2"/>
      <c r="G7" s="2"/>
      <c r="H7" s="10"/>
      <c r="I7" s="10"/>
    </row>
    <row r="8" spans="1:9" ht="15">
      <c r="A8" s="10" t="s">
        <v>2</v>
      </c>
      <c r="B8" s="205">
        <v>2</v>
      </c>
      <c r="C8" s="189">
        <v>34</v>
      </c>
      <c r="D8" s="205">
        <v>8.76</v>
      </c>
      <c r="E8" s="4"/>
      <c r="F8" s="4"/>
      <c r="G8" s="4"/>
      <c r="H8" s="10"/>
      <c r="I8" s="10"/>
    </row>
    <row r="9" spans="1:9" ht="15">
      <c r="A9" s="10" t="s">
        <v>3</v>
      </c>
      <c r="B9" s="205">
        <v>2.3</v>
      </c>
      <c r="C9" s="189">
        <v>32.4</v>
      </c>
      <c r="D9" s="205">
        <v>8.15</v>
      </c>
      <c r="E9" s="4"/>
      <c r="F9" s="4"/>
      <c r="G9" s="4"/>
      <c r="H9" s="10"/>
      <c r="I9" s="10"/>
    </row>
    <row r="10" spans="1:9" ht="15">
      <c r="A10" s="10" t="s">
        <v>4</v>
      </c>
      <c r="B10" s="205">
        <v>2</v>
      </c>
      <c r="C10" s="189">
        <v>49.9</v>
      </c>
      <c r="D10" s="205">
        <v>3.75</v>
      </c>
      <c r="E10" s="4"/>
      <c r="F10" s="4"/>
      <c r="G10" s="4"/>
      <c r="H10" s="10"/>
      <c r="I10" s="10"/>
    </row>
    <row r="11" spans="1:9" ht="15">
      <c r="A11" s="10" t="s">
        <v>5</v>
      </c>
      <c r="B11" s="205">
        <v>1.9</v>
      </c>
      <c r="C11" s="206">
        <v>46.8</v>
      </c>
      <c r="D11" s="205">
        <v>0.79</v>
      </c>
      <c r="E11" s="4"/>
      <c r="F11" s="4"/>
      <c r="G11" s="4"/>
      <c r="H11" s="10"/>
      <c r="I11" s="10"/>
    </row>
    <row r="12" spans="1:9" ht="15">
      <c r="A12" s="10" t="s">
        <v>6</v>
      </c>
      <c r="B12" s="205">
        <v>1.7</v>
      </c>
      <c r="C12" s="189">
        <v>34.2</v>
      </c>
      <c r="D12" s="205">
        <v>0</v>
      </c>
      <c r="E12" s="4"/>
      <c r="F12" s="4"/>
      <c r="G12" s="4"/>
      <c r="H12" s="10"/>
      <c r="I12" s="10"/>
    </row>
    <row r="13" spans="1:10" ht="20.25">
      <c r="A13" s="10" t="s">
        <v>7</v>
      </c>
      <c r="B13" s="205">
        <v>1.55</v>
      </c>
      <c r="C13" s="189">
        <v>32.5</v>
      </c>
      <c r="D13" s="205">
        <v>0.68</v>
      </c>
      <c r="E13" s="223" t="s">
        <v>158</v>
      </c>
      <c r="F13" s="223"/>
      <c r="G13" s="223"/>
      <c r="H13" s="223"/>
      <c r="I13" s="223"/>
      <c r="J13" s="223"/>
    </row>
    <row r="14" spans="1:9" ht="15">
      <c r="A14" s="10" t="s">
        <v>8</v>
      </c>
      <c r="B14" s="205">
        <v>1.3</v>
      </c>
      <c r="C14" s="189">
        <v>32.5</v>
      </c>
      <c r="D14" s="205">
        <v>0.79</v>
      </c>
      <c r="E14" s="4"/>
      <c r="F14" s="4"/>
      <c r="G14" s="4"/>
      <c r="H14" s="10"/>
      <c r="I14" s="10"/>
    </row>
    <row r="15" spans="1:10" ht="12.75" customHeight="1">
      <c r="A15" s="10" t="s">
        <v>9</v>
      </c>
      <c r="B15" s="205">
        <v>1.4</v>
      </c>
      <c r="C15" s="189">
        <v>21.2</v>
      </c>
      <c r="D15" s="205">
        <v>2.79</v>
      </c>
      <c r="E15" s="225">
        <v>2002</v>
      </c>
      <c r="F15" s="229" t="s">
        <v>92</v>
      </c>
      <c r="G15" s="229" t="s">
        <v>93</v>
      </c>
      <c r="H15" s="229" t="s">
        <v>94</v>
      </c>
      <c r="I15" s="224" t="s">
        <v>96</v>
      </c>
      <c r="J15" s="230" t="s">
        <v>97</v>
      </c>
    </row>
    <row r="16" spans="1:10" ht="15">
      <c r="A16" s="10" t="s">
        <v>10</v>
      </c>
      <c r="B16" s="205">
        <v>1.3</v>
      </c>
      <c r="C16" s="189">
        <v>18.9</v>
      </c>
      <c r="D16" s="205">
        <v>5.99</v>
      </c>
      <c r="E16" s="225"/>
      <c r="F16" s="229"/>
      <c r="G16" s="229"/>
      <c r="H16" s="229"/>
      <c r="I16" s="224"/>
      <c r="J16" s="230"/>
    </row>
    <row r="17" spans="1:10" ht="12.75">
      <c r="A17" s="10"/>
      <c r="B17" s="9" t="s">
        <v>90</v>
      </c>
      <c r="C17" s="9" t="s">
        <v>90</v>
      </c>
      <c r="D17" s="9" t="s">
        <v>90</v>
      </c>
      <c r="E17" s="225"/>
      <c r="F17" s="226" t="s">
        <v>91</v>
      </c>
      <c r="G17" s="227"/>
      <c r="H17" s="227"/>
      <c r="I17" s="227"/>
      <c r="J17" s="228"/>
    </row>
    <row r="18" spans="1:10" ht="12.75">
      <c r="A18" s="10" t="s">
        <v>83</v>
      </c>
      <c r="B18" s="25">
        <f aca="true" t="shared" si="0" ref="B18:D29">+B5*1.983</f>
        <v>2.7762</v>
      </c>
      <c r="C18" s="25">
        <f t="shared" si="0"/>
        <v>84.0792</v>
      </c>
      <c r="D18" s="25">
        <f t="shared" si="0"/>
        <v>21.614700000000003</v>
      </c>
      <c r="E18" s="29" t="s">
        <v>83</v>
      </c>
      <c r="F18" s="27">
        <f>+C18*31</f>
        <v>2606.4552</v>
      </c>
      <c r="G18" s="27">
        <f>+D18*31</f>
        <v>670.0557000000001</v>
      </c>
      <c r="H18" s="27">
        <f aca="true" t="shared" si="1" ref="H18:H29">SUM(F18:G18)</f>
        <v>3276.5109</v>
      </c>
      <c r="I18" s="28">
        <f>+B18*28</f>
        <v>77.7336</v>
      </c>
      <c r="J18" s="30">
        <f>H18-I18</f>
        <v>3198.7773</v>
      </c>
    </row>
    <row r="19" spans="1:10" ht="12.75">
      <c r="A19" s="10" t="s">
        <v>0</v>
      </c>
      <c r="B19" s="25">
        <f t="shared" si="0"/>
        <v>79.71660000000001</v>
      </c>
      <c r="C19" s="25">
        <f t="shared" si="0"/>
        <v>81.303</v>
      </c>
      <c r="D19" s="25">
        <f t="shared" si="0"/>
        <v>28.1586</v>
      </c>
      <c r="E19" s="29" t="s">
        <v>0</v>
      </c>
      <c r="F19" s="27">
        <f>+C19*28</f>
        <v>2276.484</v>
      </c>
      <c r="G19" s="27">
        <f>+D19*28</f>
        <v>788.4408</v>
      </c>
      <c r="H19" s="27">
        <f t="shared" si="1"/>
        <v>3064.9248</v>
      </c>
      <c r="I19" s="28">
        <f>+B19*28</f>
        <v>2232.0648000000006</v>
      </c>
      <c r="J19" s="30">
        <f aca="true" t="shared" si="2" ref="J19:J30">H19-I19</f>
        <v>832.8599999999992</v>
      </c>
    </row>
    <row r="20" spans="1:10" ht="12.75">
      <c r="A20" s="10" t="s">
        <v>1</v>
      </c>
      <c r="B20" s="25">
        <f t="shared" si="0"/>
        <v>91.4163</v>
      </c>
      <c r="C20" s="25">
        <f t="shared" si="0"/>
        <v>67.422</v>
      </c>
      <c r="D20" s="25">
        <f t="shared" si="0"/>
        <v>28.951800000000002</v>
      </c>
      <c r="E20" s="29" t="s">
        <v>1</v>
      </c>
      <c r="F20" s="27">
        <f>+C20*31</f>
        <v>2090.082</v>
      </c>
      <c r="G20" s="27">
        <f>+D20*31</f>
        <v>897.5058</v>
      </c>
      <c r="H20" s="27">
        <f t="shared" si="1"/>
        <v>2987.5878</v>
      </c>
      <c r="I20" s="28">
        <f>+B20*31</f>
        <v>2833.9053000000004</v>
      </c>
      <c r="J20" s="30">
        <f t="shared" si="2"/>
        <v>153.68249999999944</v>
      </c>
    </row>
    <row r="21" spans="1:10" ht="12.75">
      <c r="A21" s="10" t="s">
        <v>2</v>
      </c>
      <c r="B21" s="25">
        <f t="shared" si="0"/>
        <v>3.966</v>
      </c>
      <c r="C21" s="25">
        <f t="shared" si="0"/>
        <v>67.422</v>
      </c>
      <c r="D21" s="25">
        <f t="shared" si="0"/>
        <v>17.37108</v>
      </c>
      <c r="E21" s="29" t="s">
        <v>2</v>
      </c>
      <c r="F21" s="27">
        <f>+C21*30</f>
        <v>2022.6599999999999</v>
      </c>
      <c r="G21" s="27">
        <f>+D21*30</f>
        <v>521.1324</v>
      </c>
      <c r="H21" s="27">
        <f t="shared" si="1"/>
        <v>2543.7924</v>
      </c>
      <c r="I21" s="28">
        <f>+B21*30</f>
        <v>118.98</v>
      </c>
      <c r="J21" s="30">
        <f t="shared" si="2"/>
        <v>2424.8124</v>
      </c>
    </row>
    <row r="22" spans="1:10" ht="12.75">
      <c r="A22" s="10" t="s">
        <v>3</v>
      </c>
      <c r="B22" s="25">
        <f t="shared" si="0"/>
        <v>4.5609</v>
      </c>
      <c r="C22" s="25">
        <f t="shared" si="0"/>
        <v>64.2492</v>
      </c>
      <c r="D22" s="25">
        <f t="shared" si="0"/>
        <v>16.161450000000002</v>
      </c>
      <c r="E22" s="29" t="s">
        <v>3</v>
      </c>
      <c r="F22" s="27">
        <f>+C22*31</f>
        <v>1991.7252</v>
      </c>
      <c r="G22" s="27">
        <f>+D22*31</f>
        <v>501.00495000000006</v>
      </c>
      <c r="H22" s="27">
        <f t="shared" si="1"/>
        <v>2492.7301500000003</v>
      </c>
      <c r="I22" s="28">
        <f>+B22*31</f>
        <v>141.3879</v>
      </c>
      <c r="J22" s="30">
        <f t="shared" si="2"/>
        <v>2351.34225</v>
      </c>
    </row>
    <row r="23" spans="1:10" ht="12.75">
      <c r="A23" s="10" t="s">
        <v>4</v>
      </c>
      <c r="B23" s="25">
        <f t="shared" si="0"/>
        <v>3.966</v>
      </c>
      <c r="C23" s="25">
        <f t="shared" si="0"/>
        <v>98.9517</v>
      </c>
      <c r="D23" s="25">
        <f t="shared" si="0"/>
        <v>7.43625</v>
      </c>
      <c r="E23" s="29" t="s">
        <v>4</v>
      </c>
      <c r="F23" s="27">
        <f>+C23*30</f>
        <v>2968.551</v>
      </c>
      <c r="G23" s="27">
        <f>+D23*30</f>
        <v>223.0875</v>
      </c>
      <c r="H23" s="27">
        <f t="shared" si="1"/>
        <v>3191.6385</v>
      </c>
      <c r="I23" s="28">
        <f>+B23*30</f>
        <v>118.98</v>
      </c>
      <c r="J23" s="30">
        <f t="shared" si="2"/>
        <v>3072.6585</v>
      </c>
    </row>
    <row r="24" spans="1:10" ht="12.75">
      <c r="A24" s="10" t="s">
        <v>5</v>
      </c>
      <c r="B24" s="25">
        <f t="shared" si="0"/>
        <v>3.7677</v>
      </c>
      <c r="C24" s="25">
        <f t="shared" si="0"/>
        <v>92.8044</v>
      </c>
      <c r="D24" s="25">
        <f t="shared" si="0"/>
        <v>1.5665700000000002</v>
      </c>
      <c r="E24" s="29" t="s">
        <v>5</v>
      </c>
      <c r="F24" s="27">
        <f>+C24*31</f>
        <v>2876.9364</v>
      </c>
      <c r="G24" s="27">
        <f>+D24*31</f>
        <v>48.56367000000001</v>
      </c>
      <c r="H24" s="27">
        <f t="shared" si="1"/>
        <v>2925.50007</v>
      </c>
      <c r="I24" s="28">
        <f>+B24*31</f>
        <v>116.7987</v>
      </c>
      <c r="J24" s="30">
        <f t="shared" si="2"/>
        <v>2808.70137</v>
      </c>
    </row>
    <row r="25" spans="1:10" ht="12.75">
      <c r="A25" s="10" t="s">
        <v>6</v>
      </c>
      <c r="B25" s="25">
        <f t="shared" si="0"/>
        <v>3.3711</v>
      </c>
      <c r="C25" s="25">
        <f t="shared" si="0"/>
        <v>67.8186</v>
      </c>
      <c r="D25" s="25">
        <f t="shared" si="0"/>
        <v>0</v>
      </c>
      <c r="E25" s="29" t="s">
        <v>6</v>
      </c>
      <c r="F25" s="27">
        <f>+C25*31</f>
        <v>2102.3766</v>
      </c>
      <c r="G25" s="27">
        <f>+D25*31</f>
        <v>0</v>
      </c>
      <c r="H25" s="27">
        <f t="shared" si="1"/>
        <v>2102.3766</v>
      </c>
      <c r="I25" s="28">
        <f>+B25*31</f>
        <v>104.50410000000001</v>
      </c>
      <c r="J25" s="30">
        <f t="shared" si="2"/>
        <v>1997.8725</v>
      </c>
    </row>
    <row r="26" spans="1:10" ht="12.75">
      <c r="A26" s="10" t="s">
        <v>7</v>
      </c>
      <c r="B26" s="25">
        <f t="shared" si="0"/>
        <v>3.07365</v>
      </c>
      <c r="C26" s="25">
        <f t="shared" si="0"/>
        <v>64.4475</v>
      </c>
      <c r="D26" s="25">
        <f t="shared" si="0"/>
        <v>1.34844</v>
      </c>
      <c r="E26" s="29" t="s">
        <v>7</v>
      </c>
      <c r="F26" s="27">
        <f>+C26*30</f>
        <v>1933.4250000000002</v>
      </c>
      <c r="G26" s="27">
        <f>+D26*30</f>
        <v>40.4532</v>
      </c>
      <c r="H26" s="27">
        <f t="shared" si="1"/>
        <v>1973.8782</v>
      </c>
      <c r="I26" s="28">
        <f>+B26*30</f>
        <v>92.2095</v>
      </c>
      <c r="J26" s="30">
        <f t="shared" si="2"/>
        <v>1881.6687000000002</v>
      </c>
    </row>
    <row r="27" spans="1:10" ht="12.75">
      <c r="A27" s="10" t="s">
        <v>8</v>
      </c>
      <c r="B27" s="25">
        <f t="shared" si="0"/>
        <v>2.5779</v>
      </c>
      <c r="C27" s="25">
        <f t="shared" si="0"/>
        <v>64.4475</v>
      </c>
      <c r="D27" s="25">
        <f t="shared" si="0"/>
        <v>1.5665700000000002</v>
      </c>
      <c r="E27" s="29" t="s">
        <v>8</v>
      </c>
      <c r="F27" s="27">
        <f>+C27*31</f>
        <v>1997.8725000000002</v>
      </c>
      <c r="G27" s="27">
        <f>+D27*31</f>
        <v>48.56367000000001</v>
      </c>
      <c r="H27" s="27">
        <f t="shared" si="1"/>
        <v>2046.4361700000002</v>
      </c>
      <c r="I27" s="28">
        <f>+B27*31</f>
        <v>79.9149</v>
      </c>
      <c r="J27" s="30">
        <f t="shared" si="2"/>
        <v>1966.5212700000002</v>
      </c>
    </row>
    <row r="28" spans="1:10" ht="12.75">
      <c r="A28" s="10" t="s">
        <v>9</v>
      </c>
      <c r="B28" s="25">
        <f t="shared" si="0"/>
        <v>2.7762</v>
      </c>
      <c r="C28" s="25">
        <f t="shared" si="0"/>
        <v>42.0396</v>
      </c>
      <c r="D28" s="25">
        <f t="shared" si="0"/>
        <v>5.532570000000001</v>
      </c>
      <c r="E28" s="29" t="s">
        <v>9</v>
      </c>
      <c r="F28" s="27">
        <f>+C28*30</f>
        <v>1261.188</v>
      </c>
      <c r="G28" s="27">
        <f>+D28*30</f>
        <v>165.9771</v>
      </c>
      <c r="H28" s="27">
        <f t="shared" si="1"/>
        <v>1427.1651000000002</v>
      </c>
      <c r="I28" s="28">
        <f>+B28*30</f>
        <v>83.28599999999999</v>
      </c>
      <c r="J28" s="30">
        <f t="shared" si="2"/>
        <v>1343.8791</v>
      </c>
    </row>
    <row r="29" spans="1:10" ht="12.75">
      <c r="A29" s="10" t="s">
        <v>10</v>
      </c>
      <c r="B29" s="25">
        <f t="shared" si="0"/>
        <v>2.5779</v>
      </c>
      <c r="C29" s="25">
        <f t="shared" si="0"/>
        <v>37.478699999999996</v>
      </c>
      <c r="D29" s="25">
        <f t="shared" si="0"/>
        <v>11.87817</v>
      </c>
      <c r="E29" s="29" t="s">
        <v>10</v>
      </c>
      <c r="F29" s="27">
        <f>+C29*31</f>
        <v>1161.8397</v>
      </c>
      <c r="G29" s="27">
        <f>+D29*31</f>
        <v>368.22327</v>
      </c>
      <c r="H29" s="27">
        <f t="shared" si="1"/>
        <v>1530.06297</v>
      </c>
      <c r="I29" s="28">
        <f>+B29*31</f>
        <v>79.9149</v>
      </c>
      <c r="J29" s="30">
        <f t="shared" si="2"/>
        <v>1450.14807</v>
      </c>
    </row>
    <row r="30" spans="1:10" ht="12.75">
      <c r="A30" s="10"/>
      <c r="B30" s="26"/>
      <c r="C30" s="26"/>
      <c r="D30" s="26"/>
      <c r="E30" s="50" t="s">
        <v>95</v>
      </c>
      <c r="F30" s="151">
        <f>SUM(F18:F29)</f>
        <v>25289.595599999997</v>
      </c>
      <c r="G30" s="151">
        <f>SUM(G18:G29)</f>
        <v>4273.00806</v>
      </c>
      <c r="H30" s="151">
        <f>SUM(H18:H29)</f>
        <v>29562.60366</v>
      </c>
      <c r="I30" s="151">
        <f>SUM(I18:I29)</f>
        <v>6079.6797</v>
      </c>
      <c r="J30" s="152">
        <f t="shared" si="2"/>
        <v>23482.92396</v>
      </c>
    </row>
    <row r="31" spans="1:9" ht="12.75">
      <c r="A31" s="10"/>
      <c r="B31" s="4"/>
      <c r="C31" s="4"/>
      <c r="D31" s="4"/>
      <c r="E31" s="150" t="s">
        <v>98</v>
      </c>
      <c r="F31" s="31">
        <f>F30/H30</f>
        <v>0.8554590079702065</v>
      </c>
      <c r="G31" s="31">
        <f>G30/H30</f>
        <v>0.14454099202979337</v>
      </c>
      <c r="H31" s="4"/>
      <c r="I31" s="4"/>
    </row>
  </sheetData>
  <mergeCells count="8">
    <mergeCell ref="E13:J13"/>
    <mergeCell ref="I15:I16"/>
    <mergeCell ref="E15:E17"/>
    <mergeCell ref="F17:J17"/>
    <mergeCell ref="H15:H16"/>
    <mergeCell ref="G15:G16"/>
    <mergeCell ref="F15:F16"/>
    <mergeCell ref="J15:J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K25">
      <selection activeCell="O54" sqref="O54"/>
    </sheetView>
  </sheetViews>
  <sheetFormatPr defaultColWidth="9.140625" defaultRowHeight="12.75"/>
  <cols>
    <col min="8" max="8" width="17.00390625" style="0" customWidth="1"/>
    <col min="29" max="29" width="5.57421875" style="0" bestFit="1" customWidth="1"/>
    <col min="30" max="30" width="22.57421875" style="0" bestFit="1" customWidth="1"/>
  </cols>
  <sheetData>
    <row r="1" spans="1:29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 t="s">
        <v>76</v>
      </c>
      <c r="P1" s="19"/>
      <c r="Q1" s="19"/>
      <c r="R1" s="19"/>
      <c r="S1" s="19"/>
      <c r="T1" s="19"/>
      <c r="U1" s="19"/>
      <c r="V1" s="19"/>
      <c r="W1" s="19"/>
      <c r="X1" s="19"/>
      <c r="Y1" s="18"/>
      <c r="Z1" s="18"/>
      <c r="AA1" s="18"/>
      <c r="AB1" s="18"/>
      <c r="AC1" s="18"/>
    </row>
    <row r="2" spans="1:30" ht="12.75">
      <c r="A2" s="19" t="s">
        <v>75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>
        <v>1988</v>
      </c>
      <c r="Q2" s="19">
        <v>1991</v>
      </c>
      <c r="R2" s="19">
        <v>1992</v>
      </c>
      <c r="S2" s="19">
        <v>1993</v>
      </c>
      <c r="T2" s="19">
        <v>1994</v>
      </c>
      <c r="U2" s="19">
        <v>1995</v>
      </c>
      <c r="V2" s="19">
        <v>1996</v>
      </c>
      <c r="W2" s="19">
        <v>1997</v>
      </c>
      <c r="X2" s="19">
        <v>1998</v>
      </c>
      <c r="Y2" s="18">
        <v>1999</v>
      </c>
      <c r="Z2" s="18">
        <v>2000</v>
      </c>
      <c r="AA2" s="18">
        <v>2001</v>
      </c>
      <c r="AB2" s="18">
        <v>2002</v>
      </c>
      <c r="AC2" s="19" t="s">
        <v>74</v>
      </c>
      <c r="AD2" s="19" t="s">
        <v>73</v>
      </c>
    </row>
    <row r="3" spans="1:30" ht="12.75">
      <c r="A3" s="19"/>
      <c r="B3" s="19">
        <v>1988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 t="s">
        <v>56</v>
      </c>
      <c r="P3" s="21">
        <f aca="true" t="shared" si="0" ref="P3:AB3">LN(B5)</f>
        <v>2.011086222015564</v>
      </c>
      <c r="Q3" s="21">
        <f t="shared" si="0"/>
        <v>3.054944133185837</v>
      </c>
      <c r="R3" s="21">
        <f t="shared" si="0"/>
        <v>2.944965156500338</v>
      </c>
      <c r="S3" s="21">
        <f t="shared" si="0"/>
        <v>2.186051276738094</v>
      </c>
      <c r="T3" s="21">
        <f t="shared" si="0"/>
        <v>3.0170044088295307</v>
      </c>
      <c r="U3" s="21">
        <f t="shared" si="0"/>
        <v>1.6272778305624314</v>
      </c>
      <c r="V3" s="21">
        <f t="shared" si="0"/>
        <v>1.3609765531356006</v>
      </c>
      <c r="W3" s="21">
        <f t="shared" si="0"/>
        <v>0.8329091229351039</v>
      </c>
      <c r="X3" s="21">
        <f t="shared" si="0"/>
        <v>1.3887912413184778</v>
      </c>
      <c r="Y3" s="21">
        <f t="shared" si="0"/>
        <v>1.4586150226995167</v>
      </c>
      <c r="Z3" s="21">
        <f t="shared" si="0"/>
        <v>1.9740810260220096</v>
      </c>
      <c r="AA3" s="21">
        <f t="shared" si="0"/>
        <v>2.2617630984737906</v>
      </c>
      <c r="AB3" s="21">
        <f t="shared" si="0"/>
        <v>2.2823823856765264</v>
      </c>
      <c r="AC3" s="19" t="s">
        <v>72</v>
      </c>
      <c r="AD3" s="19" t="s">
        <v>71</v>
      </c>
    </row>
    <row r="4" spans="1:30" ht="12.75">
      <c r="A4" s="19" t="s">
        <v>35</v>
      </c>
      <c r="B4" s="21">
        <f>1162/7</f>
        <v>166</v>
      </c>
      <c r="C4" s="19">
        <v>184.16</v>
      </c>
      <c r="D4" s="19">
        <v>162.26</v>
      </c>
      <c r="E4" s="19">
        <v>167.91</v>
      </c>
      <c r="F4" s="19">
        <v>87.03</v>
      </c>
      <c r="G4" s="19">
        <v>40.91</v>
      </c>
      <c r="H4" s="19">
        <v>34</v>
      </c>
      <c r="I4" s="19">
        <v>13</v>
      </c>
      <c r="J4" s="19">
        <v>12.3</v>
      </c>
      <c r="K4" s="19">
        <v>20</v>
      </c>
      <c r="L4" s="19">
        <v>21</v>
      </c>
      <c r="M4" s="19">
        <v>30</v>
      </c>
      <c r="N4" s="19">
        <v>22.9</v>
      </c>
      <c r="O4" s="19"/>
      <c r="P4" s="21">
        <f aca="true" t="shared" si="1" ref="P4:AB4">20+(14.42*P3)</f>
        <v>48.99986332146443</v>
      </c>
      <c r="Q4" s="21">
        <f t="shared" si="1"/>
        <v>64.05229440053976</v>
      </c>
      <c r="R4" s="21">
        <f t="shared" si="1"/>
        <v>62.46639755673487</v>
      </c>
      <c r="S4" s="21">
        <f t="shared" si="1"/>
        <v>51.52285941056331</v>
      </c>
      <c r="T4" s="21">
        <f t="shared" si="1"/>
        <v>63.50520357532183</v>
      </c>
      <c r="U4" s="21">
        <f t="shared" si="1"/>
        <v>43.46534631671026</v>
      </c>
      <c r="V4" s="21">
        <f t="shared" si="1"/>
        <v>39.62528189621536</v>
      </c>
      <c r="W4" s="21">
        <f t="shared" si="1"/>
        <v>32.0105495527242</v>
      </c>
      <c r="X4" s="21">
        <f t="shared" si="1"/>
        <v>40.02636969981245</v>
      </c>
      <c r="Y4" s="21">
        <f t="shared" si="1"/>
        <v>41.033228627327034</v>
      </c>
      <c r="Z4" s="21">
        <f t="shared" si="1"/>
        <v>48.46624839523738</v>
      </c>
      <c r="AA4" s="21">
        <f t="shared" si="1"/>
        <v>52.61462387999206</v>
      </c>
      <c r="AB4" s="21">
        <f t="shared" si="1"/>
        <v>52.91195400145551</v>
      </c>
      <c r="AC4" s="19" t="s">
        <v>69</v>
      </c>
      <c r="AD4" s="19" t="s">
        <v>68</v>
      </c>
    </row>
    <row r="5" spans="1:30" ht="12.75">
      <c r="A5" s="19" t="s">
        <v>63</v>
      </c>
      <c r="B5" s="21">
        <f>52.3/7</f>
        <v>7.471428571428572</v>
      </c>
      <c r="C5" s="19">
        <v>21.22</v>
      </c>
      <c r="D5" s="19">
        <v>19.01</v>
      </c>
      <c r="E5" s="19">
        <v>8.9</v>
      </c>
      <c r="F5" s="19">
        <v>20.43</v>
      </c>
      <c r="G5" s="19">
        <v>5.09</v>
      </c>
      <c r="H5" s="19">
        <v>3.9</v>
      </c>
      <c r="I5" s="19">
        <v>2.3</v>
      </c>
      <c r="J5" s="19">
        <v>4.01</v>
      </c>
      <c r="K5" s="19">
        <v>4.3</v>
      </c>
      <c r="L5" s="19">
        <v>7.2</v>
      </c>
      <c r="M5" s="19">
        <v>9.6</v>
      </c>
      <c r="N5" s="19">
        <v>9.8</v>
      </c>
      <c r="O5" s="19"/>
      <c r="P5" s="21"/>
      <c r="Q5" s="21"/>
      <c r="R5" s="21"/>
      <c r="S5" s="21"/>
      <c r="T5" s="21"/>
      <c r="U5" s="21"/>
      <c r="V5" s="19"/>
      <c r="W5" s="19"/>
      <c r="X5" s="19"/>
      <c r="Y5" s="19"/>
      <c r="AC5" s="19" t="s">
        <v>67</v>
      </c>
      <c r="AD5" s="19" t="s">
        <v>66</v>
      </c>
    </row>
    <row r="6" spans="1:30" ht="12.75">
      <c r="A6" s="19" t="s">
        <v>16</v>
      </c>
      <c r="B6" s="19">
        <f>6.5/4</f>
        <v>1.625</v>
      </c>
      <c r="C6" s="19">
        <v>2.17</v>
      </c>
      <c r="D6" s="19">
        <v>2.1</v>
      </c>
      <c r="E6" s="19">
        <v>2.84</v>
      </c>
      <c r="F6" s="19">
        <v>1.79</v>
      </c>
      <c r="G6" s="19">
        <v>2.14</v>
      </c>
      <c r="H6" s="19">
        <v>4.86</v>
      </c>
      <c r="I6" s="19">
        <v>3.1</v>
      </c>
      <c r="J6" s="19">
        <v>2.63</v>
      </c>
      <c r="K6" s="19">
        <v>2.1</v>
      </c>
      <c r="L6" s="19">
        <v>2.43</v>
      </c>
      <c r="M6" s="19">
        <v>2</v>
      </c>
      <c r="N6" s="19">
        <v>2.3</v>
      </c>
      <c r="O6" s="19" t="s">
        <v>55</v>
      </c>
      <c r="P6" s="21">
        <f aca="true" t="shared" si="2" ref="P6:AB6">LN(B4)</f>
        <v>5.111987788356544</v>
      </c>
      <c r="Q6" s="21">
        <f t="shared" si="2"/>
        <v>5.215804944973573</v>
      </c>
      <c r="R6" s="21">
        <f t="shared" si="2"/>
        <v>5.089199986966919</v>
      </c>
      <c r="S6" s="21">
        <f t="shared" si="2"/>
        <v>5.1234281215713775</v>
      </c>
      <c r="T6" s="21">
        <f t="shared" si="2"/>
        <v>4.466252886801422</v>
      </c>
      <c r="U6" s="21">
        <f t="shared" si="2"/>
        <v>3.711374531941307</v>
      </c>
      <c r="V6" s="21">
        <f t="shared" si="2"/>
        <v>3.5263605246161616</v>
      </c>
      <c r="W6" s="21">
        <f t="shared" si="2"/>
        <v>2.5649493574615367</v>
      </c>
      <c r="X6" s="21">
        <f t="shared" si="2"/>
        <v>2.509599262378372</v>
      </c>
      <c r="Y6" s="21">
        <f t="shared" si="2"/>
        <v>2.995732273553991</v>
      </c>
      <c r="Z6" s="21">
        <f t="shared" si="2"/>
        <v>3.044522437723423</v>
      </c>
      <c r="AA6" s="21">
        <f t="shared" si="2"/>
        <v>3.4011973816621555</v>
      </c>
      <c r="AB6" s="21">
        <f t="shared" si="2"/>
        <v>3.131136910560194</v>
      </c>
      <c r="AC6" s="19" t="s">
        <v>65</v>
      </c>
      <c r="AD6" s="19" t="s">
        <v>64</v>
      </c>
    </row>
    <row r="7" spans="1:30" ht="12.75">
      <c r="A7" s="18"/>
      <c r="B7" s="18"/>
      <c r="C7" s="18"/>
      <c r="D7" s="18"/>
      <c r="E7" s="18"/>
      <c r="F7" s="18"/>
      <c r="G7" s="18"/>
      <c r="H7" s="18"/>
      <c r="I7" s="18"/>
      <c r="J7" s="19"/>
      <c r="K7" s="19"/>
      <c r="L7" s="19"/>
      <c r="M7" s="19"/>
      <c r="N7" s="19"/>
      <c r="O7" s="19"/>
      <c r="P7" s="21">
        <f aca="true" t="shared" si="3" ref="P7:X7">(20.02*P6)</f>
        <v>102.341995522898</v>
      </c>
      <c r="Q7" s="21">
        <f t="shared" si="3"/>
        <v>104.42041499837092</v>
      </c>
      <c r="R7" s="21">
        <f t="shared" si="3"/>
        <v>101.88578373907771</v>
      </c>
      <c r="S7" s="21">
        <f t="shared" si="3"/>
        <v>102.57103099385897</v>
      </c>
      <c r="T7" s="21">
        <f t="shared" si="3"/>
        <v>89.41438279376447</v>
      </c>
      <c r="U7" s="21">
        <f t="shared" si="3"/>
        <v>74.30171812946497</v>
      </c>
      <c r="V7" s="21">
        <f t="shared" si="3"/>
        <v>70.59773770281555</v>
      </c>
      <c r="W7" s="21">
        <f t="shared" si="3"/>
        <v>51.350286136379964</v>
      </c>
      <c r="X7" s="21">
        <f t="shared" si="3"/>
        <v>50.24217723281501</v>
      </c>
      <c r="Y7" s="21">
        <f>LN(K5)</f>
        <v>1.4586150226995167</v>
      </c>
      <c r="Z7" s="21">
        <f>LN(L5)</f>
        <v>1.9740810260220096</v>
      </c>
      <c r="AA7" s="21">
        <f>LN(M5)</f>
        <v>2.2617630984737906</v>
      </c>
      <c r="AB7" s="21">
        <f>LN(N5)</f>
        <v>2.2823823856765264</v>
      </c>
      <c r="AC7" s="19" t="s">
        <v>62</v>
      </c>
      <c r="AD7" s="19" t="s">
        <v>61</v>
      </c>
    </row>
    <row r="8" spans="1:29" ht="12.75">
      <c r="A8" s="19" t="s">
        <v>70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1"/>
      <c r="R8" s="21"/>
      <c r="S8" s="21"/>
      <c r="T8" s="21"/>
      <c r="U8" s="21"/>
      <c r="V8" s="19"/>
      <c r="W8" s="18"/>
      <c r="X8" s="18"/>
      <c r="Y8" s="18"/>
      <c r="AC8" s="18"/>
    </row>
    <row r="9" spans="1:29" ht="12.75">
      <c r="A9" s="19"/>
      <c r="B9" s="19"/>
      <c r="C9" s="19">
        <v>1991</v>
      </c>
      <c r="D9" s="19">
        <v>1992</v>
      </c>
      <c r="E9" s="19">
        <v>1993</v>
      </c>
      <c r="F9" s="19">
        <v>1994</v>
      </c>
      <c r="G9" s="19">
        <v>1995</v>
      </c>
      <c r="H9" s="19">
        <v>1996</v>
      </c>
      <c r="I9" s="19">
        <v>1997</v>
      </c>
      <c r="J9" s="19">
        <v>1998</v>
      </c>
      <c r="K9" s="19">
        <v>1999</v>
      </c>
      <c r="L9" s="19">
        <v>2000</v>
      </c>
      <c r="M9" s="19">
        <v>2001</v>
      </c>
      <c r="N9" s="19"/>
      <c r="O9" s="19" t="s">
        <v>54</v>
      </c>
      <c r="P9" s="21">
        <f aca="true" t="shared" si="4" ref="P9:AB9">LN(1/B6-0.08)</f>
        <v>-0.6247698831152083</v>
      </c>
      <c r="Q9" s="21">
        <f t="shared" si="4"/>
        <v>-0.9654035287290765</v>
      </c>
      <c r="R9" s="21">
        <f t="shared" si="4"/>
        <v>-0.9258601828903059</v>
      </c>
      <c r="S9" s="21">
        <f t="shared" si="4"/>
        <v>-1.3015390482569433</v>
      </c>
      <c r="T9" s="21">
        <f t="shared" si="4"/>
        <v>-0.7367663797012618</v>
      </c>
      <c r="U9" s="21">
        <f t="shared" si="4"/>
        <v>-0.9485822365106786</v>
      </c>
      <c r="V9" s="21">
        <f t="shared" si="4"/>
        <v>-2.0733694790422286</v>
      </c>
      <c r="W9" s="21">
        <f t="shared" si="4"/>
        <v>-1.4164210665233978</v>
      </c>
      <c r="X9" s="21">
        <f t="shared" si="4"/>
        <v>-1.2032126370525384</v>
      </c>
      <c r="Y9" s="21">
        <f t="shared" si="4"/>
        <v>-0.9258601828903059</v>
      </c>
      <c r="Z9" s="21">
        <f t="shared" si="4"/>
        <v>-1.1040591949302418</v>
      </c>
      <c r="AA9" s="21">
        <f t="shared" si="4"/>
        <v>-0.8675005677047231</v>
      </c>
      <c r="AB9" s="21">
        <f t="shared" si="4"/>
        <v>-1.036250046953134</v>
      </c>
      <c r="AC9" s="18"/>
    </row>
    <row r="10" spans="1:29" ht="12.75">
      <c r="A10" s="19" t="s">
        <v>35</v>
      </c>
      <c r="B10" s="19"/>
      <c r="C10" s="19">
        <v>191.83</v>
      </c>
      <c r="D10" s="19">
        <v>181.66</v>
      </c>
      <c r="E10" s="19">
        <v>206.9</v>
      </c>
      <c r="F10" s="19">
        <v>92.27</v>
      </c>
      <c r="G10" s="19">
        <v>58.4</v>
      </c>
      <c r="H10" s="24">
        <v>37.64705882352942</v>
      </c>
      <c r="I10" s="24">
        <v>14.392857</v>
      </c>
      <c r="J10" s="18">
        <v>15.6</v>
      </c>
      <c r="K10" s="19">
        <v>27.1</v>
      </c>
      <c r="L10" s="19">
        <v>15</v>
      </c>
      <c r="M10" s="19">
        <v>30</v>
      </c>
      <c r="N10" s="19">
        <v>25</v>
      </c>
      <c r="O10" s="19"/>
      <c r="P10" s="21">
        <f aca="true" t="shared" si="5" ref="P10:AB10">75.3+(19.46*P9)</f>
        <v>63.14197807457804</v>
      </c>
      <c r="Q10" s="21">
        <f t="shared" si="5"/>
        <v>56.51324733093217</v>
      </c>
      <c r="R10" s="21">
        <f t="shared" si="5"/>
        <v>57.282760840954644</v>
      </c>
      <c r="S10" s="21">
        <f t="shared" si="5"/>
        <v>49.972050120919874</v>
      </c>
      <c r="T10" s="21">
        <f t="shared" si="5"/>
        <v>60.96252625101344</v>
      </c>
      <c r="U10" s="21">
        <f t="shared" si="5"/>
        <v>56.840589677502194</v>
      </c>
      <c r="V10" s="21">
        <f t="shared" si="5"/>
        <v>34.952229937838226</v>
      </c>
      <c r="W10" s="21">
        <f t="shared" si="5"/>
        <v>47.73644604545467</v>
      </c>
      <c r="X10" s="21">
        <f t="shared" si="5"/>
        <v>51.885482082957594</v>
      </c>
      <c r="Y10" s="21">
        <f t="shared" si="5"/>
        <v>57.282760840954644</v>
      </c>
      <c r="Z10" s="21">
        <f t="shared" si="5"/>
        <v>53.81500806665749</v>
      </c>
      <c r="AA10" s="21">
        <f t="shared" si="5"/>
        <v>58.41843895246609</v>
      </c>
      <c r="AB10" s="21">
        <f t="shared" si="5"/>
        <v>55.134574086292005</v>
      </c>
      <c r="AC10" s="18"/>
    </row>
    <row r="11" spans="1:29" ht="12.75">
      <c r="A11" s="19" t="s">
        <v>63</v>
      </c>
      <c r="B11" s="19"/>
      <c r="C11" s="19">
        <v>3.99</v>
      </c>
      <c r="D11" s="19">
        <v>11.78</v>
      </c>
      <c r="E11" s="19">
        <v>14.4</v>
      </c>
      <c r="F11" s="19">
        <v>26.4</v>
      </c>
      <c r="G11" s="19">
        <v>10.96</v>
      </c>
      <c r="H11" s="19">
        <v>3.31</v>
      </c>
      <c r="I11" s="19">
        <v>2.322</v>
      </c>
      <c r="J11" s="19">
        <v>3.8</v>
      </c>
      <c r="K11" s="19">
        <v>4.2</v>
      </c>
      <c r="L11" s="19">
        <v>6.24</v>
      </c>
      <c r="M11" s="19">
        <v>10.4</v>
      </c>
      <c r="N11" s="19">
        <v>9.1</v>
      </c>
      <c r="O11" s="19"/>
      <c r="P11" s="19"/>
      <c r="Q11" s="19"/>
      <c r="R11" s="19"/>
      <c r="S11" s="19"/>
      <c r="T11" s="19"/>
      <c r="U11" s="19"/>
      <c r="V11" s="19"/>
      <c r="W11" s="18"/>
      <c r="X11" s="18"/>
      <c r="Y11" s="18"/>
      <c r="AC11" s="18"/>
    </row>
    <row r="12" spans="1:29" ht="12.75">
      <c r="A12" s="19" t="s">
        <v>16</v>
      </c>
      <c r="B12" s="19"/>
      <c r="C12" s="19">
        <v>2.03</v>
      </c>
      <c r="D12" s="19">
        <v>2.12</v>
      </c>
      <c r="E12" s="19">
        <v>2.23</v>
      </c>
      <c r="F12" s="19">
        <v>1.7</v>
      </c>
      <c r="G12" s="19">
        <v>1.24</v>
      </c>
      <c r="H12" s="19">
        <v>6</v>
      </c>
      <c r="I12" s="19">
        <v>3.3</v>
      </c>
      <c r="J12" s="19">
        <v>2.6</v>
      </c>
      <c r="K12" s="19">
        <v>1.9</v>
      </c>
      <c r="L12" s="19">
        <v>2.25</v>
      </c>
      <c r="M12" s="19">
        <v>1.9</v>
      </c>
      <c r="N12" s="19">
        <v>2.5</v>
      </c>
      <c r="O12" s="19" t="s">
        <v>53</v>
      </c>
      <c r="P12" s="22">
        <f aca="true" t="shared" si="6" ref="P12:X12">(P10+P7+P4)/3</f>
        <v>71.4946123063135</v>
      </c>
      <c r="Q12" s="22">
        <f t="shared" si="6"/>
        <v>74.99531890994761</v>
      </c>
      <c r="R12" s="22">
        <f t="shared" si="6"/>
        <v>73.87831404558908</v>
      </c>
      <c r="S12" s="22">
        <f t="shared" si="6"/>
        <v>68.02198017511405</v>
      </c>
      <c r="T12" s="22">
        <f t="shared" si="6"/>
        <v>71.29403754003324</v>
      </c>
      <c r="U12" s="22">
        <f t="shared" si="6"/>
        <v>58.202551374559135</v>
      </c>
      <c r="V12" s="22">
        <f t="shared" si="6"/>
        <v>48.391749845623046</v>
      </c>
      <c r="W12" s="22">
        <f t="shared" si="6"/>
        <v>43.69909391151961</v>
      </c>
      <c r="X12" s="22">
        <f t="shared" si="6"/>
        <v>47.38467633852835</v>
      </c>
      <c r="Y12" s="22">
        <f>(Y10+Y7+Y4)/3</f>
        <v>33.258201496993735</v>
      </c>
      <c r="Z12" s="22">
        <f>(Z10+Z7+Z4)/3</f>
        <v>34.75177916263896</v>
      </c>
      <c r="AA12" s="22">
        <f>(AA10+AA7+AA4)/3</f>
        <v>37.76494197697732</v>
      </c>
      <c r="AB12" s="22">
        <f>(AB10+AB7+AB4)/3</f>
        <v>36.77630349114135</v>
      </c>
      <c r="AC12" s="18"/>
    </row>
    <row r="13" spans="1:29" ht="12.75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19"/>
      <c r="O13" s="19"/>
      <c r="P13" s="19"/>
      <c r="Q13" s="19" t="s">
        <v>60</v>
      </c>
      <c r="R13" s="19" t="s">
        <v>60</v>
      </c>
      <c r="S13" s="19" t="s">
        <v>60</v>
      </c>
      <c r="T13" s="19" t="s">
        <v>60</v>
      </c>
      <c r="U13" s="19" t="s">
        <v>59</v>
      </c>
      <c r="V13" s="19" t="s">
        <v>50</v>
      </c>
      <c r="W13" s="19" t="s">
        <v>28</v>
      </c>
      <c r="X13" s="19" t="s">
        <v>50</v>
      </c>
      <c r="Y13" s="18" t="s">
        <v>78</v>
      </c>
      <c r="Z13" s="18"/>
      <c r="AA13" s="18"/>
      <c r="AB13" s="18"/>
      <c r="AC13" s="18"/>
    </row>
    <row r="14" spans="1:29" ht="12.75">
      <c r="A14" s="18"/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19"/>
      <c r="O14" s="19"/>
      <c r="P14" s="19"/>
      <c r="Q14" s="21"/>
      <c r="R14" s="21"/>
      <c r="S14" s="21"/>
      <c r="T14" s="21"/>
      <c r="U14" s="21"/>
      <c r="V14" s="19"/>
      <c r="W14" s="19"/>
      <c r="X14" s="19"/>
      <c r="Y14" s="18"/>
      <c r="Z14" s="18"/>
      <c r="AA14" s="18"/>
      <c r="AB14" s="18"/>
      <c r="AC14" s="18"/>
    </row>
    <row r="15" spans="1:29" ht="12.75">
      <c r="A15" s="18"/>
      <c r="B15" s="18"/>
      <c r="C15" s="18"/>
      <c r="D15" s="18"/>
      <c r="E15" s="18"/>
      <c r="F15" s="18"/>
      <c r="G15" s="18"/>
      <c r="H15" s="19"/>
      <c r="I15" s="19"/>
      <c r="J15" s="19"/>
      <c r="K15" s="19"/>
      <c r="L15" s="19"/>
      <c r="M15" s="19"/>
      <c r="N15" s="19"/>
      <c r="O15" s="19" t="s">
        <v>58</v>
      </c>
      <c r="P15" s="19"/>
      <c r="Q15" s="21"/>
      <c r="R15" s="21"/>
      <c r="S15" s="21"/>
      <c r="T15" s="21"/>
      <c r="U15" s="21"/>
      <c r="V15" s="19"/>
      <c r="W15" s="19"/>
      <c r="X15" s="19"/>
      <c r="Y15" s="18"/>
      <c r="Z15" s="18"/>
      <c r="AA15" s="18"/>
      <c r="AB15" s="18"/>
      <c r="AC15" s="18"/>
    </row>
    <row r="16" spans="1:29" ht="12.75">
      <c r="A16" s="19" t="s">
        <v>57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v>1988</v>
      </c>
      <c r="Q16" s="23">
        <v>1991</v>
      </c>
      <c r="R16" s="23">
        <v>1992</v>
      </c>
      <c r="S16" s="23">
        <v>1993</v>
      </c>
      <c r="T16" s="23">
        <v>1994</v>
      </c>
      <c r="U16" s="23">
        <v>1995</v>
      </c>
      <c r="V16" s="19">
        <v>1996</v>
      </c>
      <c r="W16" s="19">
        <v>1997</v>
      </c>
      <c r="X16" s="19">
        <v>1998</v>
      </c>
      <c r="Y16" s="18">
        <v>1999</v>
      </c>
      <c r="Z16" s="18">
        <v>2000</v>
      </c>
      <c r="AA16" s="18">
        <v>2001</v>
      </c>
      <c r="AB16" s="18">
        <v>2002</v>
      </c>
      <c r="AC16" s="18"/>
    </row>
    <row r="17" spans="1:29" ht="12.75">
      <c r="A17" s="19"/>
      <c r="B17" s="19">
        <v>1988</v>
      </c>
      <c r="C17" s="19">
        <v>1991</v>
      </c>
      <c r="D17" s="19">
        <v>1992</v>
      </c>
      <c r="E17" s="19">
        <v>1993</v>
      </c>
      <c r="F17" s="19">
        <v>1994</v>
      </c>
      <c r="G17" s="19">
        <v>1995</v>
      </c>
      <c r="H17" s="19">
        <v>1996</v>
      </c>
      <c r="I17" s="19">
        <v>1997</v>
      </c>
      <c r="J17" s="19">
        <v>1998</v>
      </c>
      <c r="K17" s="19">
        <v>1999</v>
      </c>
      <c r="L17" s="19">
        <v>2000</v>
      </c>
      <c r="M17" s="19">
        <v>2001</v>
      </c>
      <c r="N17" s="19">
        <v>202</v>
      </c>
      <c r="O17" s="19" t="s">
        <v>56</v>
      </c>
      <c r="P17" s="19"/>
      <c r="Q17" s="21">
        <f aca="true" t="shared" si="7" ref="Q17:AB17">LN(C11)</f>
        <v>1.3837912309017721</v>
      </c>
      <c r="R17" s="21">
        <f t="shared" si="7"/>
        <v>2.4664031782234406</v>
      </c>
      <c r="S17" s="21">
        <f t="shared" si="7"/>
        <v>2.667228206581955</v>
      </c>
      <c r="T17" s="21">
        <f t="shared" si="7"/>
        <v>3.2733640101522705</v>
      </c>
      <c r="U17" s="21">
        <f t="shared" si="7"/>
        <v>2.3942522815198695</v>
      </c>
      <c r="V17" s="21">
        <f t="shared" si="7"/>
        <v>1.1969481893889715</v>
      </c>
      <c r="W17" s="21">
        <f t="shared" si="7"/>
        <v>0.8424288832756998</v>
      </c>
      <c r="X17" s="21">
        <f t="shared" si="7"/>
        <v>1.33500106673234</v>
      </c>
      <c r="Y17" s="21">
        <f t="shared" si="7"/>
        <v>1.4350845252893227</v>
      </c>
      <c r="Z17" s="21">
        <f t="shared" si="7"/>
        <v>1.8309801823813363</v>
      </c>
      <c r="AA17" s="21">
        <f t="shared" si="7"/>
        <v>2.341805806147327</v>
      </c>
      <c r="AB17" s="21">
        <f t="shared" si="7"/>
        <v>2.2082744135228043</v>
      </c>
      <c r="AC17" s="18"/>
    </row>
    <row r="18" spans="1:29" ht="12.75">
      <c r="A18" s="19" t="s">
        <v>49</v>
      </c>
      <c r="B18" s="21">
        <f aca="true" t="shared" si="8" ref="B18:N18">LN(B6)</f>
        <v>0.4855078157817008</v>
      </c>
      <c r="C18" s="21">
        <f t="shared" si="8"/>
        <v>0.7747271675523681</v>
      </c>
      <c r="D18" s="21">
        <f t="shared" si="8"/>
        <v>0.7419373447293773</v>
      </c>
      <c r="E18" s="21">
        <f t="shared" si="8"/>
        <v>1.0438040521731147</v>
      </c>
      <c r="F18" s="21">
        <f t="shared" si="8"/>
        <v>0.5822156198526637</v>
      </c>
      <c r="G18" s="21">
        <f t="shared" si="8"/>
        <v>0.7608058290337602</v>
      </c>
      <c r="H18" s="21">
        <f t="shared" si="8"/>
        <v>1.5810384379124025</v>
      </c>
      <c r="I18" s="21">
        <f t="shared" si="8"/>
        <v>1.1314021114911006</v>
      </c>
      <c r="J18" s="21">
        <f t="shared" si="8"/>
        <v>0.9669838461896731</v>
      </c>
      <c r="K18" s="21">
        <f t="shared" si="8"/>
        <v>0.7419373447293773</v>
      </c>
      <c r="L18" s="21">
        <f t="shared" si="8"/>
        <v>0.8878912573524571</v>
      </c>
      <c r="M18" s="21">
        <f t="shared" si="8"/>
        <v>0.6931471805599453</v>
      </c>
      <c r="N18" s="21">
        <f t="shared" si="8"/>
        <v>0.8329091229351039</v>
      </c>
      <c r="O18" s="19"/>
      <c r="P18" s="19"/>
      <c r="Q18" s="21">
        <f aca="true" t="shared" si="9" ref="Q18:AB18">20+(14.42*Q17)</f>
        <v>39.95426954960355</v>
      </c>
      <c r="R18" s="21">
        <f t="shared" si="9"/>
        <v>55.565533829982016</v>
      </c>
      <c r="S18" s="21">
        <f t="shared" si="9"/>
        <v>58.46143073891179</v>
      </c>
      <c r="T18" s="21">
        <f t="shared" si="9"/>
        <v>67.20190902639574</v>
      </c>
      <c r="U18" s="21">
        <f t="shared" si="9"/>
        <v>54.525117899516516</v>
      </c>
      <c r="V18" s="21">
        <f t="shared" si="9"/>
        <v>37.25999289098897</v>
      </c>
      <c r="W18" s="21">
        <f t="shared" si="9"/>
        <v>32.14782449683559</v>
      </c>
      <c r="X18" s="21">
        <f t="shared" si="9"/>
        <v>39.25071538228035</v>
      </c>
      <c r="Y18" s="21">
        <f t="shared" si="9"/>
        <v>40.693918854672035</v>
      </c>
      <c r="Z18" s="21">
        <f t="shared" si="9"/>
        <v>46.40273422993887</v>
      </c>
      <c r="AA18" s="21">
        <f t="shared" si="9"/>
        <v>53.76883972464446</v>
      </c>
      <c r="AB18" s="21">
        <f t="shared" si="9"/>
        <v>51.843317042998834</v>
      </c>
      <c r="AC18" s="18"/>
    </row>
    <row r="19" spans="1:29" ht="12.75">
      <c r="A19" s="19"/>
      <c r="B19" s="21">
        <f aca="true" t="shared" si="10" ref="B19:N19">60-(14.41*B18)</f>
        <v>53.00383237458569</v>
      </c>
      <c r="C19" s="21">
        <f t="shared" si="10"/>
        <v>48.836181515570374</v>
      </c>
      <c r="D19" s="21">
        <f t="shared" si="10"/>
        <v>49.30868286244967</v>
      </c>
      <c r="E19" s="21">
        <f t="shared" si="10"/>
        <v>44.95878360818541</v>
      </c>
      <c r="F19" s="21">
        <f t="shared" si="10"/>
        <v>51.61027291792311</v>
      </c>
      <c r="G19" s="21">
        <f t="shared" si="10"/>
        <v>49.03678800362351</v>
      </c>
      <c r="H19" s="21">
        <f t="shared" si="10"/>
        <v>37.217236109682275</v>
      </c>
      <c r="I19" s="21">
        <f t="shared" si="10"/>
        <v>43.696495573413245</v>
      </c>
      <c r="J19" s="21">
        <f t="shared" si="10"/>
        <v>46.065762776406814</v>
      </c>
      <c r="K19" s="21">
        <f t="shared" si="10"/>
        <v>49.30868286244967</v>
      </c>
      <c r="L19" s="21">
        <f t="shared" si="10"/>
        <v>47.20548698155109</v>
      </c>
      <c r="M19" s="21">
        <f t="shared" si="10"/>
        <v>50.011749128131186</v>
      </c>
      <c r="N19" s="21">
        <f t="shared" si="10"/>
        <v>47.997779538505156</v>
      </c>
      <c r="O19" s="19"/>
      <c r="P19" s="19"/>
      <c r="Q19" s="21"/>
      <c r="R19" s="21"/>
      <c r="S19" s="21"/>
      <c r="T19" s="21"/>
      <c r="U19" s="21"/>
      <c r="V19" s="21"/>
      <c r="W19" s="21"/>
      <c r="X19" s="21"/>
      <c r="Y19" s="21"/>
      <c r="Z19" s="18"/>
      <c r="AA19" s="18"/>
      <c r="AB19" s="18"/>
      <c r="AC19" s="18"/>
    </row>
    <row r="20" spans="1:2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 t="s">
        <v>55</v>
      </c>
      <c r="P20" s="19"/>
      <c r="Q20" s="21">
        <f aca="true" t="shared" si="11" ref="Q20:AB20">LN(C10)</f>
        <v>5.256609563148246</v>
      </c>
      <c r="R20" s="21">
        <f t="shared" si="11"/>
        <v>5.2021368080740675</v>
      </c>
      <c r="S20" s="21">
        <f t="shared" si="11"/>
        <v>5.332235584751498</v>
      </c>
      <c r="T20" s="21">
        <f t="shared" si="11"/>
        <v>4.524719061590464</v>
      </c>
      <c r="U20" s="21">
        <f t="shared" si="11"/>
        <v>4.067315889834181</v>
      </c>
      <c r="V20" s="21">
        <f t="shared" si="11"/>
        <v>3.6282548322975017</v>
      </c>
      <c r="W20" s="21">
        <f t="shared" si="11"/>
        <v>2.6667320418459206</v>
      </c>
      <c r="X20" s="21">
        <f t="shared" si="11"/>
        <v>2.747270914255491</v>
      </c>
      <c r="Y20" s="21">
        <f t="shared" si="11"/>
        <v>3.299533727885655</v>
      </c>
      <c r="Z20" s="21">
        <f t="shared" si="11"/>
        <v>2.70805020110221</v>
      </c>
      <c r="AA20" s="21">
        <f t="shared" si="11"/>
        <v>3.4011973816621555</v>
      </c>
      <c r="AB20" s="21">
        <f t="shared" si="11"/>
        <v>3.2188758248682006</v>
      </c>
      <c r="AC20" s="18"/>
    </row>
    <row r="21" spans="1:29" ht="12.75">
      <c r="A21" s="19" t="s">
        <v>48</v>
      </c>
      <c r="B21" s="21">
        <f aca="true" t="shared" si="12" ref="B21:N21">LN(B5)</f>
        <v>2.011086222015564</v>
      </c>
      <c r="C21" s="21">
        <f t="shared" si="12"/>
        <v>3.054944133185837</v>
      </c>
      <c r="D21" s="21">
        <f t="shared" si="12"/>
        <v>2.944965156500338</v>
      </c>
      <c r="E21" s="21">
        <f t="shared" si="12"/>
        <v>2.186051276738094</v>
      </c>
      <c r="F21" s="21">
        <f t="shared" si="12"/>
        <v>3.0170044088295307</v>
      </c>
      <c r="G21" s="21">
        <f t="shared" si="12"/>
        <v>1.6272778305624314</v>
      </c>
      <c r="H21" s="21">
        <f t="shared" si="12"/>
        <v>1.3609765531356006</v>
      </c>
      <c r="I21" s="21">
        <f t="shared" si="12"/>
        <v>0.8329091229351039</v>
      </c>
      <c r="J21" s="21">
        <f t="shared" si="12"/>
        <v>1.3887912413184778</v>
      </c>
      <c r="K21" s="21">
        <f t="shared" si="12"/>
        <v>1.4586150226995167</v>
      </c>
      <c r="L21" s="21">
        <f t="shared" si="12"/>
        <v>1.9740810260220096</v>
      </c>
      <c r="M21" s="21">
        <f t="shared" si="12"/>
        <v>2.2617630984737906</v>
      </c>
      <c r="N21" s="21">
        <f t="shared" si="12"/>
        <v>2.2823823856765264</v>
      </c>
      <c r="O21" s="19"/>
      <c r="P21" s="19"/>
      <c r="Q21" s="21">
        <f aca="true" t="shared" si="13" ref="Q21:X21">(20.02*Q20)</f>
        <v>105.23732345422789</v>
      </c>
      <c r="R21" s="21">
        <f t="shared" si="13"/>
        <v>104.14677889764283</v>
      </c>
      <c r="S21" s="21">
        <f t="shared" si="13"/>
        <v>106.75135640672498</v>
      </c>
      <c r="T21" s="21">
        <f t="shared" si="13"/>
        <v>90.58487561304109</v>
      </c>
      <c r="U21" s="21">
        <f t="shared" si="13"/>
        <v>81.42766411448031</v>
      </c>
      <c r="V21" s="21">
        <f t="shared" si="13"/>
        <v>72.63766174259598</v>
      </c>
      <c r="W21" s="21">
        <f t="shared" si="13"/>
        <v>53.387975477755326</v>
      </c>
      <c r="X21" s="21">
        <f t="shared" si="13"/>
        <v>55.00036370339493</v>
      </c>
      <c r="Y21" s="21">
        <f>LN(K11)</f>
        <v>1.4350845252893227</v>
      </c>
      <c r="Z21" s="21">
        <f>LN(L11)</f>
        <v>1.8309801823813363</v>
      </c>
      <c r="AA21" s="21">
        <f>LN(M11)</f>
        <v>2.341805806147327</v>
      </c>
      <c r="AB21" s="21">
        <f>LN(N11)</f>
        <v>2.2082744135228043</v>
      </c>
      <c r="AC21" s="18"/>
    </row>
    <row r="22" spans="1:29" ht="12.75">
      <c r="A22" s="19"/>
      <c r="B22" s="21">
        <f aca="true" t="shared" si="14" ref="B22:N22">(9.81*B21)+30.6</f>
        <v>50.32875583797268</v>
      </c>
      <c r="C22" s="21">
        <f t="shared" si="14"/>
        <v>60.56900194655306</v>
      </c>
      <c r="D22" s="21">
        <f t="shared" si="14"/>
        <v>59.49010818526831</v>
      </c>
      <c r="E22" s="21">
        <f t="shared" si="14"/>
        <v>52.04516302480071</v>
      </c>
      <c r="F22" s="21">
        <f t="shared" si="14"/>
        <v>60.196813250617694</v>
      </c>
      <c r="G22" s="21">
        <f t="shared" si="14"/>
        <v>46.563595517817454</v>
      </c>
      <c r="H22" s="21">
        <f t="shared" si="14"/>
        <v>43.95117998626024</v>
      </c>
      <c r="I22" s="21">
        <f t="shared" si="14"/>
        <v>38.770838495993374</v>
      </c>
      <c r="J22" s="21">
        <f t="shared" si="14"/>
        <v>44.22404207733427</v>
      </c>
      <c r="K22" s="21">
        <f t="shared" si="14"/>
        <v>44.90901337268226</v>
      </c>
      <c r="L22" s="21">
        <f t="shared" si="14"/>
        <v>49.96573486527592</v>
      </c>
      <c r="M22" s="21">
        <f t="shared" si="14"/>
        <v>52.787895996027885</v>
      </c>
      <c r="N22" s="21">
        <f t="shared" si="14"/>
        <v>52.990171203486724</v>
      </c>
      <c r="O22" s="19"/>
      <c r="P22" s="19"/>
      <c r="Q22" s="21"/>
      <c r="R22" s="21"/>
      <c r="S22" s="21"/>
      <c r="T22" s="21"/>
      <c r="U22" s="21"/>
      <c r="V22" s="21"/>
      <c r="W22" s="21"/>
      <c r="X22" s="18"/>
      <c r="Y22" s="18"/>
      <c r="Z22" s="18"/>
      <c r="AA22" s="18"/>
      <c r="AB22" s="18"/>
      <c r="AC22" s="18"/>
    </row>
    <row r="23" spans="1:29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19"/>
      <c r="M23" s="19"/>
      <c r="N23" s="19"/>
      <c r="O23" s="19" t="s">
        <v>54</v>
      </c>
      <c r="P23" s="19"/>
      <c r="Q23" s="21">
        <f aca="true" t="shared" si="15" ref="Q23:AB23">LN(1/C12-0.08)</f>
        <v>-0.8852504124795058</v>
      </c>
      <c r="R23" s="21">
        <f t="shared" si="15"/>
        <v>-0.9372638552544341</v>
      </c>
      <c r="S23" s="21">
        <f t="shared" si="15"/>
        <v>-0.998503205839816</v>
      </c>
      <c r="T23" s="21">
        <f t="shared" si="15"/>
        <v>-0.6768107612402517</v>
      </c>
      <c r="U23" s="21">
        <f t="shared" si="15"/>
        <v>-0.31958340121365647</v>
      </c>
      <c r="V23" s="21">
        <f t="shared" si="15"/>
        <v>-2.4456859366347192</v>
      </c>
      <c r="W23" s="21">
        <f t="shared" si="15"/>
        <v>-1.5004476287256954</v>
      </c>
      <c r="X23" s="21">
        <f t="shared" si="15"/>
        <v>-1.1887053321951477</v>
      </c>
      <c r="Y23" s="21">
        <f t="shared" si="15"/>
        <v>-0.8067285293626288</v>
      </c>
      <c r="Z23" s="21">
        <f t="shared" si="15"/>
        <v>-1.0093811549401672</v>
      </c>
      <c r="AA23" s="21">
        <f t="shared" si="15"/>
        <v>-0.8067285293626288</v>
      </c>
      <c r="AB23" s="21">
        <f t="shared" si="15"/>
        <v>-1.1394342831883648</v>
      </c>
      <c r="AC23" s="18"/>
    </row>
    <row r="24" spans="1:29" ht="12.75">
      <c r="A24" s="19" t="s">
        <v>47</v>
      </c>
      <c r="B24" s="21">
        <f aca="true" t="shared" si="16" ref="B24:N24">LN(B4)</f>
        <v>5.111987788356544</v>
      </c>
      <c r="C24" s="21">
        <f t="shared" si="16"/>
        <v>5.215804944973573</v>
      </c>
      <c r="D24" s="21">
        <f t="shared" si="16"/>
        <v>5.089199986966919</v>
      </c>
      <c r="E24" s="21">
        <f t="shared" si="16"/>
        <v>5.1234281215713775</v>
      </c>
      <c r="F24" s="21">
        <f t="shared" si="16"/>
        <v>4.466252886801422</v>
      </c>
      <c r="G24" s="21">
        <f t="shared" si="16"/>
        <v>3.711374531941307</v>
      </c>
      <c r="H24" s="21">
        <f t="shared" si="16"/>
        <v>3.5263605246161616</v>
      </c>
      <c r="I24" s="21">
        <f t="shared" si="16"/>
        <v>2.5649493574615367</v>
      </c>
      <c r="J24" s="21">
        <f t="shared" si="16"/>
        <v>2.509599262378372</v>
      </c>
      <c r="K24" s="21">
        <f t="shared" si="16"/>
        <v>2.995732273553991</v>
      </c>
      <c r="L24" s="21">
        <f t="shared" si="16"/>
        <v>3.044522437723423</v>
      </c>
      <c r="M24" s="21">
        <f t="shared" si="16"/>
        <v>3.4011973816621555</v>
      </c>
      <c r="N24" s="21">
        <f t="shared" si="16"/>
        <v>3.131136910560194</v>
      </c>
      <c r="O24" s="19"/>
      <c r="P24" s="19"/>
      <c r="Q24" s="21">
        <f aca="true" t="shared" si="17" ref="Q24:AB24">75.3+(19.46*Q23)</f>
        <v>58.073026973148814</v>
      </c>
      <c r="R24" s="21">
        <f t="shared" si="17"/>
        <v>57.06084537674871</v>
      </c>
      <c r="S24" s="21">
        <f t="shared" si="17"/>
        <v>55.869127614357176</v>
      </c>
      <c r="T24" s="21">
        <f t="shared" si="17"/>
        <v>62.1292625862647</v>
      </c>
      <c r="U24" s="21">
        <f t="shared" si="17"/>
        <v>69.08090701238224</v>
      </c>
      <c r="V24" s="21">
        <f t="shared" si="17"/>
        <v>27.706951673088362</v>
      </c>
      <c r="W24" s="21">
        <f t="shared" si="17"/>
        <v>46.10128914499796</v>
      </c>
      <c r="X24" s="21">
        <f t="shared" si="17"/>
        <v>52.16779423548242</v>
      </c>
      <c r="Y24" s="21">
        <f t="shared" si="17"/>
        <v>59.60106281860324</v>
      </c>
      <c r="Z24" s="21">
        <f t="shared" si="17"/>
        <v>55.65744272486434</v>
      </c>
      <c r="AA24" s="21">
        <f t="shared" si="17"/>
        <v>59.60106281860324</v>
      </c>
      <c r="AB24" s="21">
        <f t="shared" si="17"/>
        <v>53.126608849154415</v>
      </c>
      <c r="AC24" s="18"/>
    </row>
    <row r="25" spans="1:29" ht="12.75">
      <c r="A25" s="19"/>
      <c r="B25" s="21">
        <f aca="true" t="shared" si="18" ref="B25:N25">(14.42*B24)+4.15</f>
        <v>77.86486390810137</v>
      </c>
      <c r="C25" s="21">
        <f t="shared" si="18"/>
        <v>79.36190730651892</v>
      </c>
      <c r="D25" s="21">
        <f t="shared" si="18"/>
        <v>77.53626381206297</v>
      </c>
      <c r="E25" s="21">
        <f t="shared" si="18"/>
        <v>78.02983351305927</v>
      </c>
      <c r="F25" s="21">
        <f t="shared" si="18"/>
        <v>68.55336662767651</v>
      </c>
      <c r="G25" s="21">
        <f t="shared" si="18"/>
        <v>57.66802075059365</v>
      </c>
      <c r="H25" s="21">
        <f t="shared" si="18"/>
        <v>55.000118764965045</v>
      </c>
      <c r="I25" s="21">
        <f t="shared" si="18"/>
        <v>41.136569734595355</v>
      </c>
      <c r="J25" s="21">
        <f t="shared" si="18"/>
        <v>40.338421363496124</v>
      </c>
      <c r="K25" s="21">
        <f t="shared" si="18"/>
        <v>47.34845938464855</v>
      </c>
      <c r="L25" s="21">
        <f t="shared" si="18"/>
        <v>48.05201355197176</v>
      </c>
      <c r="M25" s="21">
        <f t="shared" si="18"/>
        <v>53.19526624356828</v>
      </c>
      <c r="N25" s="21">
        <f t="shared" si="18"/>
        <v>49.300994250277995</v>
      </c>
      <c r="O25" s="19"/>
      <c r="P25" s="19"/>
      <c r="Q25" s="19"/>
      <c r="R25" s="19"/>
      <c r="S25" s="19"/>
      <c r="T25" s="19"/>
      <c r="U25" s="19"/>
      <c r="V25" s="19"/>
      <c r="W25" s="19"/>
      <c r="X25" s="18"/>
      <c r="Y25" s="18"/>
      <c r="Z25" s="18"/>
      <c r="AA25" s="18"/>
      <c r="AB25" s="18"/>
      <c r="AC25" s="18"/>
    </row>
    <row r="26" spans="1:29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19"/>
      <c r="M26" s="19"/>
      <c r="N26" s="19"/>
      <c r="O26" s="19" t="s">
        <v>53</v>
      </c>
      <c r="P26" s="19"/>
      <c r="Q26" s="22">
        <f aca="true" t="shared" si="19" ref="Q26:X26">(Q24+Q21+Q18)/3</f>
        <v>67.75487332566009</v>
      </c>
      <c r="R26" s="22">
        <f t="shared" si="19"/>
        <v>72.25771936812453</v>
      </c>
      <c r="S26" s="22">
        <f t="shared" si="19"/>
        <v>73.69397158666465</v>
      </c>
      <c r="T26" s="22">
        <f t="shared" si="19"/>
        <v>73.30534907523385</v>
      </c>
      <c r="U26" s="22">
        <f t="shared" si="19"/>
        <v>68.34456300879302</v>
      </c>
      <c r="V26" s="22">
        <f t="shared" si="19"/>
        <v>45.86820210222444</v>
      </c>
      <c r="W26" s="22">
        <f t="shared" si="19"/>
        <v>43.87902970652963</v>
      </c>
      <c r="X26" s="22">
        <f t="shared" si="19"/>
        <v>48.80629110705257</v>
      </c>
      <c r="Y26" s="22">
        <f>(Y24+Y21+Y18)/3</f>
        <v>33.9100220661882</v>
      </c>
      <c r="Z26" s="22">
        <f>(Z24+Z21+Z18)/3</f>
        <v>34.63038571239485</v>
      </c>
      <c r="AA26" s="22">
        <f>(AA24+AA21+AA18)/3</f>
        <v>38.57056944979834</v>
      </c>
      <c r="AB26" s="22">
        <f>(AB24+AB21+AB18)/3</f>
        <v>35.72606676855869</v>
      </c>
      <c r="AC26" s="18"/>
    </row>
    <row r="27" spans="1:29" ht="12.75">
      <c r="A27" s="19" t="s">
        <v>52</v>
      </c>
      <c r="B27" s="19"/>
      <c r="C27" s="19"/>
      <c r="D27" s="19"/>
      <c r="E27" s="19"/>
      <c r="F27" s="19"/>
      <c r="G27" s="19"/>
      <c r="H27" s="19"/>
      <c r="I27" s="19"/>
      <c r="J27" s="18"/>
      <c r="K27" s="19"/>
      <c r="L27" s="19"/>
      <c r="M27" s="19"/>
      <c r="N27" s="19"/>
      <c r="O27" s="19"/>
      <c r="P27" s="19"/>
      <c r="Q27" s="19" t="s">
        <v>51</v>
      </c>
      <c r="R27" s="19" t="s">
        <v>51</v>
      </c>
      <c r="S27" s="19" t="s">
        <v>51</v>
      </c>
      <c r="T27" s="19" t="s">
        <v>51</v>
      </c>
      <c r="U27" s="19" t="s">
        <v>51</v>
      </c>
      <c r="V27" s="18" t="s">
        <v>50</v>
      </c>
      <c r="W27" s="18" t="s">
        <v>28</v>
      </c>
      <c r="X27" s="18" t="s">
        <v>50</v>
      </c>
      <c r="Y27" s="18" t="s">
        <v>78</v>
      </c>
      <c r="Z27" s="18"/>
      <c r="AA27" s="18"/>
      <c r="AB27" s="18"/>
      <c r="AC27" s="18"/>
    </row>
    <row r="28" spans="1:29" ht="12.75">
      <c r="A28" s="19"/>
      <c r="B28" s="19"/>
      <c r="C28" s="19">
        <v>1991</v>
      </c>
      <c r="D28" s="19">
        <v>1992</v>
      </c>
      <c r="E28" s="19">
        <v>1993</v>
      </c>
      <c r="F28" s="19">
        <v>1994</v>
      </c>
      <c r="G28" s="19">
        <v>1995</v>
      </c>
      <c r="H28" s="19">
        <v>1996</v>
      </c>
      <c r="I28" s="19">
        <v>1997</v>
      </c>
      <c r="J28" s="18">
        <v>1998</v>
      </c>
      <c r="K28" s="19">
        <v>1999</v>
      </c>
      <c r="L28" s="19">
        <v>2000</v>
      </c>
      <c r="M28" s="19">
        <v>2001</v>
      </c>
      <c r="N28" s="19">
        <v>2002</v>
      </c>
      <c r="O28" s="19"/>
      <c r="P28" s="19"/>
      <c r="Q28" s="19"/>
      <c r="R28" s="19"/>
      <c r="S28" s="19"/>
      <c r="T28" s="19"/>
      <c r="U28" s="19"/>
      <c r="V28" s="18"/>
      <c r="W28" s="18"/>
      <c r="X28" s="18"/>
      <c r="Y28" s="18"/>
      <c r="Z28" s="18"/>
      <c r="AA28" s="18"/>
      <c r="AB28" s="18"/>
      <c r="AC28" s="18"/>
    </row>
    <row r="29" spans="1:29" ht="12.75">
      <c r="A29" s="19" t="s">
        <v>20</v>
      </c>
      <c r="B29" s="19"/>
      <c r="C29" s="21">
        <f aca="true" t="shared" si="20" ref="C29:N29">LN(C12)</f>
        <v>0.7080357930536959</v>
      </c>
      <c r="D29" s="21">
        <f t="shared" si="20"/>
        <v>0.7514160886839212</v>
      </c>
      <c r="E29" s="21">
        <f t="shared" si="20"/>
        <v>0.8020015854720274</v>
      </c>
      <c r="F29" s="21">
        <f t="shared" si="20"/>
        <v>0.5306282510621704</v>
      </c>
      <c r="G29" s="21">
        <f t="shared" si="20"/>
        <v>0.2151113796169455</v>
      </c>
      <c r="H29" s="21">
        <f t="shared" si="20"/>
        <v>1.791759469228055</v>
      </c>
      <c r="I29" s="21">
        <f t="shared" si="20"/>
        <v>1.1939224684724346</v>
      </c>
      <c r="J29" s="21">
        <f t="shared" si="20"/>
        <v>0.9555114450274363</v>
      </c>
      <c r="K29" s="21">
        <f t="shared" si="20"/>
        <v>0.6418538861723947</v>
      </c>
      <c r="L29" s="21">
        <f t="shared" si="20"/>
        <v>0.8109302162163288</v>
      </c>
      <c r="M29" s="21">
        <f t="shared" si="20"/>
        <v>0.6418538861723947</v>
      </c>
      <c r="N29" s="21">
        <f t="shared" si="20"/>
        <v>0.9162907318741551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ht="12.75">
      <c r="A30" s="19"/>
      <c r="B30" s="19"/>
      <c r="C30" s="21">
        <f aca="true" t="shared" si="21" ref="C30:N30">60-(14.41*C29)</f>
        <v>49.79720422209624</v>
      </c>
      <c r="D30" s="21">
        <f t="shared" si="21"/>
        <v>49.172094162064695</v>
      </c>
      <c r="E30" s="21">
        <f t="shared" si="21"/>
        <v>48.44315715334808</v>
      </c>
      <c r="F30" s="21">
        <f t="shared" si="21"/>
        <v>52.35364690219413</v>
      </c>
      <c r="G30" s="21">
        <f t="shared" si="21"/>
        <v>56.90024501971982</v>
      </c>
      <c r="H30" s="21">
        <f t="shared" si="21"/>
        <v>34.18074604842373</v>
      </c>
      <c r="I30" s="21">
        <f t="shared" si="21"/>
        <v>42.795577229312215</v>
      </c>
      <c r="J30" s="21">
        <f t="shared" si="21"/>
        <v>46.231080077154644</v>
      </c>
      <c r="K30" s="21">
        <f t="shared" si="21"/>
        <v>50.75088550025579</v>
      </c>
      <c r="L30" s="21">
        <f t="shared" si="21"/>
        <v>48.3144955843227</v>
      </c>
      <c r="M30" s="21">
        <f t="shared" si="21"/>
        <v>50.75088550025579</v>
      </c>
      <c r="N30" s="21">
        <f t="shared" si="21"/>
        <v>46.796250553693426</v>
      </c>
      <c r="O30" s="19"/>
      <c r="P30" s="19"/>
      <c r="Q30" s="19"/>
      <c r="R30" s="19"/>
      <c r="S30" s="19"/>
      <c r="T30" s="19"/>
      <c r="U30" s="19"/>
      <c r="V30" s="18"/>
      <c r="W30" s="18"/>
      <c r="X30" s="18"/>
      <c r="Y30" s="18"/>
      <c r="Z30" s="18"/>
      <c r="AA30" s="18"/>
      <c r="AB30" s="18"/>
      <c r="AC30" s="18"/>
    </row>
    <row r="31" spans="1:29" ht="12.75">
      <c r="A31" s="19"/>
      <c r="B31" s="19"/>
      <c r="C31" s="21"/>
      <c r="D31" s="21"/>
      <c r="E31" s="21"/>
      <c r="F31" s="21"/>
      <c r="G31" s="21"/>
      <c r="H31" s="19"/>
      <c r="I31" s="19"/>
      <c r="J31" s="18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8"/>
      <c r="W31" s="18"/>
      <c r="X31" s="18"/>
      <c r="Y31" s="18"/>
      <c r="Z31" s="18"/>
      <c r="AA31" s="18"/>
      <c r="AB31" s="18"/>
      <c r="AC31" s="18"/>
    </row>
    <row r="32" spans="1:29" ht="12.75">
      <c r="A32" s="19" t="s">
        <v>17</v>
      </c>
      <c r="B32" s="19"/>
      <c r="C32" s="21">
        <f aca="true" t="shared" si="22" ref="C32:N32">LN(C11)</f>
        <v>1.3837912309017721</v>
      </c>
      <c r="D32" s="21">
        <f t="shared" si="22"/>
        <v>2.4664031782234406</v>
      </c>
      <c r="E32" s="21">
        <f t="shared" si="22"/>
        <v>2.667228206581955</v>
      </c>
      <c r="F32" s="21">
        <f t="shared" si="22"/>
        <v>3.2733640101522705</v>
      </c>
      <c r="G32" s="21">
        <f t="shared" si="22"/>
        <v>2.3942522815198695</v>
      </c>
      <c r="H32" s="21">
        <f t="shared" si="22"/>
        <v>1.1969481893889715</v>
      </c>
      <c r="I32" s="21">
        <f t="shared" si="22"/>
        <v>0.8424288832756998</v>
      </c>
      <c r="J32" s="21">
        <f t="shared" si="22"/>
        <v>1.33500106673234</v>
      </c>
      <c r="K32" s="21">
        <f t="shared" si="22"/>
        <v>1.4350845252893227</v>
      </c>
      <c r="L32" s="21">
        <f t="shared" si="22"/>
        <v>1.8309801823813363</v>
      </c>
      <c r="M32" s="21">
        <f t="shared" si="22"/>
        <v>2.341805806147327</v>
      </c>
      <c r="N32" s="21">
        <f t="shared" si="22"/>
        <v>2.2082744135228043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12.75">
      <c r="A33" s="19"/>
      <c r="B33" s="19"/>
      <c r="C33" s="21">
        <f aca="true" t="shared" si="23" ref="C33:N33">(9.81*C32)+30.6</f>
        <v>44.17499197514638</v>
      </c>
      <c r="D33" s="21">
        <f t="shared" si="23"/>
        <v>54.795415178371954</v>
      </c>
      <c r="E33" s="21">
        <f t="shared" si="23"/>
        <v>56.76550870656898</v>
      </c>
      <c r="F33" s="21">
        <f t="shared" si="23"/>
        <v>62.711700939593776</v>
      </c>
      <c r="G33" s="21">
        <f t="shared" si="23"/>
        <v>54.087614881709925</v>
      </c>
      <c r="H33" s="21">
        <f t="shared" si="23"/>
        <v>42.34206173790581</v>
      </c>
      <c r="I33" s="21">
        <f t="shared" si="23"/>
        <v>38.86422734493462</v>
      </c>
      <c r="J33" s="21">
        <f t="shared" si="23"/>
        <v>43.69636046464426</v>
      </c>
      <c r="K33" s="21">
        <f t="shared" si="23"/>
        <v>44.678179193088255</v>
      </c>
      <c r="L33" s="21">
        <f t="shared" si="23"/>
        <v>48.56191558916091</v>
      </c>
      <c r="M33" s="21">
        <f t="shared" si="23"/>
        <v>53.57311495830528</v>
      </c>
      <c r="N33" s="21">
        <f t="shared" si="23"/>
        <v>52.26317199665871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12.75">
      <c r="A34" s="19"/>
      <c r="B34" s="19"/>
      <c r="C34" s="21"/>
      <c r="D34" s="21"/>
      <c r="E34" s="21"/>
      <c r="F34" s="21"/>
      <c r="G34" s="21"/>
      <c r="H34" s="19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12.75">
      <c r="A35" s="19" t="s">
        <v>13</v>
      </c>
      <c r="B35" s="19"/>
      <c r="C35" s="21">
        <f aca="true" t="shared" si="24" ref="C35:K35">LN(C10)</f>
        <v>5.256609563148246</v>
      </c>
      <c r="D35" s="21">
        <f t="shared" si="24"/>
        <v>5.2021368080740675</v>
      </c>
      <c r="E35" s="21">
        <f t="shared" si="24"/>
        <v>5.332235584751498</v>
      </c>
      <c r="F35" s="21">
        <f t="shared" si="24"/>
        <v>4.524719061590464</v>
      </c>
      <c r="G35" s="21">
        <f t="shared" si="24"/>
        <v>4.067315889834181</v>
      </c>
      <c r="H35" s="21">
        <f t="shared" si="24"/>
        <v>3.6282548322975017</v>
      </c>
      <c r="I35" s="21">
        <f t="shared" si="24"/>
        <v>2.6667320418459206</v>
      </c>
      <c r="J35" s="21">
        <f t="shared" si="24"/>
        <v>2.747270914255491</v>
      </c>
      <c r="K35" s="21">
        <f t="shared" si="24"/>
        <v>3.299533727885655</v>
      </c>
      <c r="L35" s="21">
        <f>LN(L10)</f>
        <v>2.70805020110221</v>
      </c>
      <c r="M35" s="21">
        <f>LN(M10)</f>
        <v>3.4011973816621555</v>
      </c>
      <c r="N35" s="21">
        <f>LN(N10)</f>
        <v>3.2188758248682006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12.75">
      <c r="A36" s="19"/>
      <c r="B36" s="19"/>
      <c r="C36" s="21">
        <f aca="true" t="shared" si="25" ref="C36:N36">(14.42*C35)+4.15</f>
        <v>79.95030990059772</v>
      </c>
      <c r="D36" s="21">
        <f t="shared" si="25"/>
        <v>79.16481277242806</v>
      </c>
      <c r="E36" s="21">
        <f t="shared" si="25"/>
        <v>81.04083713211661</v>
      </c>
      <c r="F36" s="21">
        <f t="shared" si="25"/>
        <v>69.3964488681345</v>
      </c>
      <c r="G36" s="21">
        <f t="shared" si="25"/>
        <v>62.800695131408894</v>
      </c>
      <c r="H36" s="21">
        <f t="shared" si="25"/>
        <v>56.46943468172997</v>
      </c>
      <c r="I36" s="21">
        <f t="shared" si="25"/>
        <v>42.604276043418174</v>
      </c>
      <c r="J36" s="21">
        <f t="shared" si="25"/>
        <v>43.765646583564184</v>
      </c>
      <c r="K36" s="21">
        <f t="shared" si="25"/>
        <v>51.72927635611114</v>
      </c>
      <c r="L36" s="21">
        <f t="shared" si="25"/>
        <v>43.20008389989387</v>
      </c>
      <c r="M36" s="21">
        <f t="shared" si="25"/>
        <v>53.19526624356828</v>
      </c>
      <c r="N36" s="21">
        <f t="shared" si="25"/>
        <v>50.56618939459945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ht="12.75">
      <c r="A42" s="18"/>
      <c r="B42" s="18"/>
      <c r="C42" s="18"/>
      <c r="D42" s="18"/>
      <c r="E42" s="18"/>
      <c r="F42" s="18"/>
      <c r="G42" s="153" t="s">
        <v>74</v>
      </c>
      <c r="H42" s="153" t="s">
        <v>82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ht="12.75">
      <c r="A43" s="18"/>
      <c r="B43" s="18"/>
      <c r="C43" s="18"/>
      <c r="D43" s="18"/>
      <c r="E43" s="18"/>
      <c r="F43" s="18"/>
      <c r="G43" s="153" t="s">
        <v>72</v>
      </c>
      <c r="H43" s="153" t="s">
        <v>81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ht="12.75">
      <c r="A44" s="18"/>
      <c r="B44" s="18"/>
      <c r="C44" s="18"/>
      <c r="D44" s="18"/>
      <c r="E44" s="18"/>
      <c r="F44" s="18"/>
      <c r="G44" s="153" t="s">
        <v>69</v>
      </c>
      <c r="H44" s="153" t="s">
        <v>80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29" ht="12.75">
      <c r="A45" s="18"/>
      <c r="B45" s="18"/>
      <c r="C45" s="18"/>
      <c r="D45" s="18"/>
      <c r="E45" s="18"/>
      <c r="F45" s="18"/>
      <c r="G45" s="153" t="s">
        <v>67</v>
      </c>
      <c r="H45" s="153" t="s">
        <v>79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</row>
    <row r="46" spans="1:29" ht="12.75">
      <c r="A46" s="20" t="s">
        <v>46</v>
      </c>
      <c r="B46" s="19"/>
      <c r="C46" s="19" t="s">
        <v>45</v>
      </c>
      <c r="D46" s="19"/>
      <c r="E46" s="19"/>
      <c r="F46" s="19"/>
      <c r="G46" s="153" t="s">
        <v>65</v>
      </c>
      <c r="H46" s="153" t="s">
        <v>78</v>
      </c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ht="12.75">
      <c r="A47" s="20" t="s">
        <v>44</v>
      </c>
      <c r="B47" s="19"/>
      <c r="C47" s="19" t="s">
        <v>43</v>
      </c>
      <c r="D47" s="19"/>
      <c r="E47" s="19"/>
      <c r="F47" s="19"/>
      <c r="G47" s="153" t="s">
        <v>62</v>
      </c>
      <c r="H47" s="153" t="s">
        <v>77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</row>
    <row r="48" spans="1:29" ht="12.75">
      <c r="A48" s="20" t="s">
        <v>42</v>
      </c>
      <c r="B48" s="19"/>
      <c r="C48" s="19" t="s">
        <v>41</v>
      </c>
      <c r="D48" s="19"/>
      <c r="E48" s="19"/>
      <c r="F48" s="19"/>
      <c r="G48" s="19"/>
      <c r="H48" s="19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8"/>
  <sheetViews>
    <sheetView workbookViewId="0" topLeftCell="C1">
      <selection activeCell="I60" sqref="I60"/>
    </sheetView>
  </sheetViews>
  <sheetFormatPr defaultColWidth="9.140625" defaultRowHeight="12.75"/>
  <cols>
    <col min="1" max="1" width="12.00390625" style="10" customWidth="1"/>
    <col min="2" max="2" width="10.57421875" style="10" customWidth="1"/>
    <col min="3" max="3" width="10.7109375" style="10" customWidth="1"/>
    <col min="4" max="16384" width="9.140625" style="10" customWidth="1"/>
  </cols>
  <sheetData>
    <row r="1" spans="1:2" ht="12.75">
      <c r="A1" s="10">
        <v>2002</v>
      </c>
      <c r="B1" s="10" t="s">
        <v>15</v>
      </c>
    </row>
    <row r="2" spans="2:5" ht="12.75">
      <c r="B2" s="2" t="s">
        <v>35</v>
      </c>
      <c r="C2" s="2" t="s">
        <v>17</v>
      </c>
      <c r="D2" s="2" t="s">
        <v>16</v>
      </c>
      <c r="E2" s="2"/>
    </row>
    <row r="3" spans="1:5" ht="16.5">
      <c r="A3" s="146" t="s">
        <v>83</v>
      </c>
      <c r="B3" s="200"/>
      <c r="C3" s="9"/>
      <c r="D3" s="9"/>
      <c r="E3" s="9" t="s">
        <v>83</v>
      </c>
    </row>
    <row r="4" spans="1:5" ht="16.5">
      <c r="A4" s="146" t="s">
        <v>0</v>
      </c>
      <c r="B4" s="200"/>
      <c r="C4" s="147"/>
      <c r="D4" s="9"/>
      <c r="E4" s="9" t="s">
        <v>0</v>
      </c>
    </row>
    <row r="5" spans="1:5" ht="16.5">
      <c r="A5" s="146" t="s">
        <v>1</v>
      </c>
      <c r="B5" s="201">
        <v>20</v>
      </c>
      <c r="C5" s="145">
        <v>25.1</v>
      </c>
      <c r="D5" s="9">
        <v>1.5</v>
      </c>
      <c r="E5" s="9" t="s">
        <v>1</v>
      </c>
    </row>
    <row r="6" spans="1:5" ht="16.5">
      <c r="A6" s="146" t="s">
        <v>2</v>
      </c>
      <c r="B6" s="200">
        <v>35</v>
      </c>
      <c r="C6" s="145">
        <v>12.4</v>
      </c>
      <c r="D6" s="9">
        <v>2</v>
      </c>
      <c r="E6" s="9" t="s">
        <v>2</v>
      </c>
    </row>
    <row r="7" spans="1:5" ht="16.5">
      <c r="A7" s="146" t="s">
        <v>3</v>
      </c>
      <c r="B7" s="200">
        <v>25</v>
      </c>
      <c r="C7" s="145">
        <v>7.3</v>
      </c>
      <c r="D7" s="9">
        <v>2</v>
      </c>
      <c r="E7" s="9" t="s">
        <v>3</v>
      </c>
    </row>
    <row r="8" spans="1:5" ht="16.5">
      <c r="A8" s="146" t="s">
        <v>4</v>
      </c>
      <c r="B8" s="201">
        <v>27.5</v>
      </c>
      <c r="C8" s="145">
        <v>2.6</v>
      </c>
      <c r="D8" s="9">
        <v>5</v>
      </c>
      <c r="E8" s="9" t="s">
        <v>4</v>
      </c>
    </row>
    <row r="9" spans="1:5" ht="16.5">
      <c r="A9" s="146" t="s">
        <v>5</v>
      </c>
      <c r="B9" s="200">
        <v>26.3</v>
      </c>
      <c r="C9" s="145">
        <v>5.9</v>
      </c>
      <c r="D9" s="9">
        <v>2.5</v>
      </c>
      <c r="E9" s="9" t="s">
        <v>5</v>
      </c>
    </row>
    <row r="10" spans="1:5" ht="16.5">
      <c r="A10" s="146" t="s">
        <v>6</v>
      </c>
      <c r="B10" s="200">
        <v>24</v>
      </c>
      <c r="C10" s="202">
        <v>11.6</v>
      </c>
      <c r="D10" s="9">
        <v>1.7</v>
      </c>
      <c r="E10" s="9" t="s">
        <v>6</v>
      </c>
    </row>
    <row r="11" spans="1:5" ht="16.5">
      <c r="A11" s="146" t="s">
        <v>7</v>
      </c>
      <c r="B11" s="200">
        <v>21</v>
      </c>
      <c r="C11" s="145">
        <v>9.7</v>
      </c>
      <c r="D11" s="9">
        <v>2</v>
      </c>
      <c r="E11" s="9" t="s">
        <v>7</v>
      </c>
    </row>
    <row r="12" spans="1:5" ht="16.5">
      <c r="A12" s="146" t="s">
        <v>8</v>
      </c>
      <c r="B12" s="201">
        <v>20</v>
      </c>
      <c r="C12" s="203">
        <v>14</v>
      </c>
      <c r="D12" s="9">
        <v>1.5</v>
      </c>
      <c r="E12" s="9" t="s">
        <v>8</v>
      </c>
    </row>
    <row r="13" spans="1:5" ht="16.5">
      <c r="A13" s="146" t="s">
        <v>9</v>
      </c>
      <c r="B13" s="200">
        <v>20</v>
      </c>
      <c r="C13" s="203">
        <v>9.8</v>
      </c>
      <c r="D13" s="9">
        <v>2.5</v>
      </c>
      <c r="E13" s="9" t="s">
        <v>9</v>
      </c>
    </row>
    <row r="14" spans="1:5" ht="16.5">
      <c r="A14" s="146" t="s">
        <v>10</v>
      </c>
      <c r="B14" s="200">
        <v>20</v>
      </c>
      <c r="C14" s="145">
        <v>9.5</v>
      </c>
      <c r="D14" s="9">
        <v>3</v>
      </c>
      <c r="E14" s="9" t="s">
        <v>10</v>
      </c>
    </row>
    <row r="15" spans="1:4" ht="12.75">
      <c r="A15" s="141" t="s">
        <v>95</v>
      </c>
      <c r="B15" s="17">
        <f>AVERAGE(B3:B14)</f>
        <v>23.880000000000003</v>
      </c>
      <c r="C15" s="17">
        <f>AVERAGE(C3:C14)</f>
        <v>10.79</v>
      </c>
      <c r="D15" s="17">
        <f>AVERAGE(D3:D14)</f>
        <v>2.37</v>
      </c>
    </row>
    <row r="16" spans="1:4" ht="12.75">
      <c r="A16" s="141" t="s">
        <v>139</v>
      </c>
      <c r="B16" s="17">
        <f>AVERAGE(B9:B11)</f>
        <v>23.766666666666666</v>
      </c>
      <c r="C16" s="17">
        <f>AVERAGE(C9:C11)</f>
        <v>9.066666666666666</v>
      </c>
      <c r="D16" s="17">
        <f>AVERAGE(D9:D11)</f>
        <v>2.066666666666667</v>
      </c>
    </row>
    <row r="17" spans="1:3" ht="16.5">
      <c r="A17" s="12"/>
      <c r="B17" s="84"/>
      <c r="C17" s="145"/>
    </row>
    <row r="19" spans="1:7" ht="12.75">
      <c r="A19" s="10" t="s">
        <v>95</v>
      </c>
      <c r="B19" s="9" t="s">
        <v>17</v>
      </c>
      <c r="C19" s="9" t="s">
        <v>35</v>
      </c>
      <c r="E19" s="1"/>
      <c r="F19" s="15"/>
      <c r="G19" s="1"/>
    </row>
    <row r="20" spans="1:7" ht="12.75">
      <c r="A20" s="10">
        <v>1982</v>
      </c>
      <c r="B20" s="9">
        <v>15</v>
      </c>
      <c r="C20" s="9">
        <v>23</v>
      </c>
      <c r="D20"/>
      <c r="E20" s="1"/>
      <c r="F20" s="16"/>
      <c r="G20"/>
    </row>
    <row r="21" spans="1:7" ht="12.75">
      <c r="A21" s="10">
        <v>1983</v>
      </c>
      <c r="B21" s="9">
        <v>16</v>
      </c>
      <c r="C21" s="9">
        <v>50</v>
      </c>
      <c r="D21"/>
      <c r="E21" s="1"/>
      <c r="F21" s="16"/>
      <c r="G21"/>
    </row>
    <row r="22" spans="1:7" ht="12.75">
      <c r="A22" s="10">
        <v>1984</v>
      </c>
      <c r="B22" s="9">
        <v>6.7</v>
      </c>
      <c r="C22" s="9">
        <v>35</v>
      </c>
      <c r="D22"/>
      <c r="E22" s="1"/>
      <c r="F22" s="16"/>
      <c r="G22"/>
    </row>
    <row r="23" spans="1:7" ht="12.75">
      <c r="A23" s="10">
        <v>1985</v>
      </c>
      <c r="B23" s="9">
        <v>8.9</v>
      </c>
      <c r="C23" s="9">
        <v>28</v>
      </c>
      <c r="D23"/>
      <c r="E23" s="1"/>
      <c r="F23" s="16"/>
      <c r="G23"/>
    </row>
    <row r="24" spans="1:7" ht="12.75">
      <c r="A24" s="10">
        <v>1987</v>
      </c>
      <c r="B24" s="9">
        <v>10</v>
      </c>
      <c r="C24" s="9">
        <v>57</v>
      </c>
      <c r="E24" s="1"/>
      <c r="F24" s="16"/>
      <c r="G24"/>
    </row>
    <row r="25" spans="1:7" ht="12.75">
      <c r="A25" s="10">
        <v>1988</v>
      </c>
      <c r="B25" s="9">
        <v>9</v>
      </c>
      <c r="C25" s="9">
        <v>16</v>
      </c>
      <c r="D25" s="17"/>
      <c r="E25" s="1"/>
      <c r="F25" s="16"/>
      <c r="G25"/>
    </row>
    <row r="26" spans="1:7" ht="12.75">
      <c r="A26" s="10">
        <v>1989</v>
      </c>
      <c r="B26" s="9">
        <v>2.3</v>
      </c>
      <c r="C26" s="9">
        <v>16</v>
      </c>
      <c r="D26" s="17"/>
      <c r="E26" s="1"/>
      <c r="F26" s="16"/>
      <c r="G26"/>
    </row>
    <row r="27" spans="1:7" ht="12.75">
      <c r="A27" s="10">
        <v>1990</v>
      </c>
      <c r="B27" s="9">
        <v>10</v>
      </c>
      <c r="C27" s="9">
        <v>27</v>
      </c>
      <c r="D27" s="17"/>
      <c r="E27" s="1"/>
      <c r="F27" s="16"/>
      <c r="G27"/>
    </row>
    <row r="28" spans="1:7" ht="12.75">
      <c r="A28" s="10">
        <v>1991</v>
      </c>
      <c r="B28" s="9">
        <v>1.6</v>
      </c>
      <c r="C28" s="9">
        <v>17</v>
      </c>
      <c r="D28" s="17"/>
      <c r="E28" s="1"/>
      <c r="F28" s="16"/>
      <c r="G28"/>
    </row>
    <row r="29" spans="1:7" ht="12.75">
      <c r="A29" s="10">
        <v>1992</v>
      </c>
      <c r="B29" s="9">
        <v>4.2</v>
      </c>
      <c r="C29" s="9">
        <v>31</v>
      </c>
      <c r="D29" s="17"/>
      <c r="E29" s="1"/>
      <c r="F29" s="16"/>
      <c r="G29"/>
    </row>
    <row r="30" spans="1:7" ht="12.75">
      <c r="A30" s="10">
        <v>1993</v>
      </c>
      <c r="B30" s="9">
        <v>4.4</v>
      </c>
      <c r="C30" s="9">
        <v>21</v>
      </c>
      <c r="D30" s="17"/>
      <c r="E30" s="1"/>
      <c r="F30" s="16"/>
      <c r="G30"/>
    </row>
    <row r="31" spans="1:7" ht="12.75">
      <c r="A31" s="10">
        <v>1994</v>
      </c>
      <c r="B31" s="9">
        <v>3.3</v>
      </c>
      <c r="C31" s="9">
        <v>14</v>
      </c>
      <c r="D31" s="17"/>
      <c r="E31" s="1"/>
      <c r="F31" s="16"/>
      <c r="G31"/>
    </row>
    <row r="32" spans="1:7" ht="12.75">
      <c r="A32" s="10">
        <v>1995</v>
      </c>
      <c r="B32" s="9">
        <v>1.2</v>
      </c>
      <c r="C32" s="9">
        <v>13</v>
      </c>
      <c r="E32" s="1"/>
      <c r="F32" s="16"/>
      <c r="G32"/>
    </row>
    <row r="33" spans="1:7" ht="12.75">
      <c r="A33" s="10">
        <v>1996</v>
      </c>
      <c r="B33" s="9">
        <v>3.7</v>
      </c>
      <c r="C33" s="9">
        <v>26</v>
      </c>
      <c r="E33" s="1"/>
      <c r="F33" s="16"/>
      <c r="G33"/>
    </row>
    <row r="34" spans="1:7" ht="12.75">
      <c r="A34" s="10">
        <v>1997</v>
      </c>
      <c r="B34" s="9">
        <v>2.3</v>
      </c>
      <c r="C34" s="9">
        <v>13</v>
      </c>
      <c r="E34" s="1"/>
      <c r="F34" s="16"/>
      <c r="G34"/>
    </row>
    <row r="35" spans="1:7" ht="12.75">
      <c r="A35" s="10">
        <v>1998</v>
      </c>
      <c r="B35" s="9">
        <v>4.2</v>
      </c>
      <c r="C35" s="9">
        <v>17</v>
      </c>
      <c r="E35" s="1"/>
      <c r="F35" s="16"/>
      <c r="G35"/>
    </row>
    <row r="36" spans="1:7" ht="12.75">
      <c r="A36" s="10">
        <v>1999</v>
      </c>
      <c r="B36" s="9">
        <v>4.3</v>
      </c>
      <c r="C36" s="9">
        <v>20</v>
      </c>
      <c r="E36" s="1"/>
      <c r="F36" s="16"/>
      <c r="G36"/>
    </row>
    <row r="37" spans="1:7" ht="12.75">
      <c r="A37" s="10">
        <v>2000</v>
      </c>
      <c r="B37" s="9">
        <v>7.5</v>
      </c>
      <c r="C37" s="9">
        <v>12</v>
      </c>
      <c r="E37" s="1"/>
      <c r="F37" s="16"/>
      <c r="G37"/>
    </row>
    <row r="38" spans="1:7" ht="12.75">
      <c r="A38" s="10">
        <v>2001</v>
      </c>
      <c r="B38" s="9">
        <v>10</v>
      </c>
      <c r="C38" s="9">
        <v>23</v>
      </c>
      <c r="E38" s="1"/>
      <c r="F38" s="16"/>
      <c r="G38"/>
    </row>
    <row r="39" spans="1:7" ht="12.75">
      <c r="A39" s="10">
        <v>2002</v>
      </c>
      <c r="B39" s="9">
        <v>9.4</v>
      </c>
      <c r="C39" s="9">
        <v>23</v>
      </c>
      <c r="E39" s="1"/>
      <c r="F39" s="16"/>
      <c r="G39"/>
    </row>
    <row r="40" spans="1:10" ht="12.75">
      <c r="A40" s="10" t="s">
        <v>138</v>
      </c>
      <c r="B40" s="9" t="s">
        <v>17</v>
      </c>
      <c r="C40" s="9" t="s">
        <v>35</v>
      </c>
      <c r="D40" s="10" t="s">
        <v>39</v>
      </c>
      <c r="E40" s="1" t="s">
        <v>40</v>
      </c>
      <c r="F40" s="16"/>
      <c r="G40" t="s">
        <v>109</v>
      </c>
      <c r="H40" s="10" t="s">
        <v>35</v>
      </c>
      <c r="I40" s="10" t="s">
        <v>110</v>
      </c>
      <c r="J40" s="10" t="s">
        <v>111</v>
      </c>
    </row>
    <row r="41" spans="1:11" ht="12.75">
      <c r="A41" s="9">
        <v>1982</v>
      </c>
      <c r="B41" s="9">
        <v>15</v>
      </c>
      <c r="C41" s="9">
        <v>23</v>
      </c>
      <c r="D41" s="10">
        <f>LOG(B41)</f>
        <v>1.1760912590556813</v>
      </c>
      <c r="E41" s="10">
        <f>LOG(C41)</f>
        <v>1.3617278360175928</v>
      </c>
      <c r="F41" s="16"/>
      <c r="G41"/>
      <c r="H41" s="10">
        <v>14.3</v>
      </c>
      <c r="I41" s="10">
        <v>3.3</v>
      </c>
      <c r="J41" s="10">
        <v>4.6</v>
      </c>
      <c r="K41" s="10" t="s">
        <v>112</v>
      </c>
    </row>
    <row r="42" spans="1:7" ht="12.75">
      <c r="A42" s="9">
        <v>1983</v>
      </c>
      <c r="B42" s="9">
        <v>16</v>
      </c>
      <c r="C42" s="9">
        <v>50</v>
      </c>
      <c r="D42" s="10">
        <f aca="true" t="shared" si="0" ref="D42:D60">LOG(B42)</f>
        <v>1.2041199826559248</v>
      </c>
      <c r="E42" s="10">
        <f aca="true" t="shared" si="1" ref="E42:E60">LOG(C42)</f>
        <v>1.6989700043360187</v>
      </c>
      <c r="F42" s="16"/>
      <c r="G42"/>
    </row>
    <row r="43" spans="1:7" ht="12.75">
      <c r="A43" s="9">
        <v>1984</v>
      </c>
      <c r="B43" s="9">
        <v>6.7</v>
      </c>
      <c r="C43" s="9">
        <v>35</v>
      </c>
      <c r="D43" s="10">
        <f t="shared" si="0"/>
        <v>0.8260748027008264</v>
      </c>
      <c r="E43" s="10">
        <f t="shared" si="1"/>
        <v>1.5440680443502757</v>
      </c>
      <c r="F43" s="16"/>
      <c r="G43"/>
    </row>
    <row r="44" spans="1:7" ht="12.75">
      <c r="A44" s="9">
        <v>1985</v>
      </c>
      <c r="B44" s="9">
        <v>8.9</v>
      </c>
      <c r="C44" s="9">
        <v>28</v>
      </c>
      <c r="D44" s="10">
        <f t="shared" si="0"/>
        <v>0.9493900066449128</v>
      </c>
      <c r="E44" s="10">
        <f t="shared" si="1"/>
        <v>1.4471580313422192</v>
      </c>
      <c r="F44" s="16"/>
      <c r="G44"/>
    </row>
    <row r="45" spans="1:7" ht="12.75">
      <c r="A45" s="9">
        <v>1987</v>
      </c>
      <c r="B45" s="9">
        <v>15</v>
      </c>
      <c r="C45" s="9">
        <v>60</v>
      </c>
      <c r="D45" s="10">
        <f t="shared" si="0"/>
        <v>1.1760912590556813</v>
      </c>
      <c r="E45" s="10">
        <f t="shared" si="1"/>
        <v>1.7781512503836436</v>
      </c>
      <c r="F45" s="16"/>
      <c r="G45"/>
    </row>
    <row r="46" spans="1:7" ht="12.75">
      <c r="A46" s="9">
        <v>1988</v>
      </c>
      <c r="B46" s="9">
        <v>9</v>
      </c>
      <c r="C46" s="9">
        <v>15</v>
      </c>
      <c r="D46" s="10">
        <f t="shared" si="0"/>
        <v>0.9542425094393249</v>
      </c>
      <c r="E46" s="10">
        <f t="shared" si="1"/>
        <v>1.1760912590556813</v>
      </c>
      <c r="F46" s="16"/>
      <c r="G46"/>
    </row>
    <row r="47" spans="1:7" ht="12.75">
      <c r="A47" s="9">
        <v>1989</v>
      </c>
      <c r="B47" s="9">
        <v>2.3</v>
      </c>
      <c r="C47" s="9">
        <v>12</v>
      </c>
      <c r="D47" s="10">
        <f t="shared" si="0"/>
        <v>0.36172783601759284</v>
      </c>
      <c r="E47" s="10">
        <f t="shared" si="1"/>
        <v>1.0791812460476249</v>
      </c>
      <c r="F47" s="16"/>
      <c r="G47"/>
    </row>
    <row r="48" spans="1:7" ht="12.75">
      <c r="A48" s="9">
        <v>1990</v>
      </c>
      <c r="B48" s="9">
        <v>6.6</v>
      </c>
      <c r="C48" s="9">
        <v>27</v>
      </c>
      <c r="D48" s="10">
        <f t="shared" si="0"/>
        <v>0.8195439355418687</v>
      </c>
      <c r="E48" s="10">
        <f t="shared" si="1"/>
        <v>1.4313637641589874</v>
      </c>
      <c r="F48" s="16"/>
      <c r="G48"/>
    </row>
    <row r="49" spans="1:7" ht="12.75">
      <c r="A49" s="9">
        <v>1991</v>
      </c>
      <c r="B49" s="9">
        <v>4.6</v>
      </c>
      <c r="C49" s="9">
        <v>29</v>
      </c>
      <c r="D49" s="10">
        <f t="shared" si="0"/>
        <v>0.6627578316815741</v>
      </c>
      <c r="E49" s="10">
        <f t="shared" si="1"/>
        <v>1.462397997898956</v>
      </c>
      <c r="F49" s="16"/>
      <c r="G49"/>
    </row>
    <row r="50" spans="1:7" ht="12.75">
      <c r="A50" s="9">
        <v>1992</v>
      </c>
      <c r="B50" s="9">
        <v>4.5</v>
      </c>
      <c r="C50" s="9">
        <v>27</v>
      </c>
      <c r="D50" s="10">
        <f t="shared" si="0"/>
        <v>0.6532125137753437</v>
      </c>
      <c r="E50" s="10">
        <f t="shared" si="1"/>
        <v>1.4313637641589874</v>
      </c>
      <c r="F50" s="16"/>
      <c r="G50"/>
    </row>
    <row r="51" spans="1:7" ht="12.75">
      <c r="A51" s="9">
        <v>1993</v>
      </c>
      <c r="B51" s="9">
        <v>4.1</v>
      </c>
      <c r="C51" s="9">
        <v>18</v>
      </c>
      <c r="D51" s="10">
        <f t="shared" si="0"/>
        <v>0.6127838567197355</v>
      </c>
      <c r="E51" s="10">
        <f t="shared" si="1"/>
        <v>1.255272505103306</v>
      </c>
      <c r="F51" s="16"/>
      <c r="G51"/>
    </row>
    <row r="52" spans="1:7" ht="12.75">
      <c r="A52" s="9">
        <v>1994</v>
      </c>
      <c r="B52" s="9">
        <v>3.2</v>
      </c>
      <c r="C52" s="9">
        <v>29</v>
      </c>
      <c r="D52" s="10">
        <f t="shared" si="0"/>
        <v>0.505149978319906</v>
      </c>
      <c r="E52" s="10">
        <f t="shared" si="1"/>
        <v>1.462397997898956</v>
      </c>
      <c r="F52" s="16"/>
      <c r="G52"/>
    </row>
    <row r="53" spans="1:7" ht="12.75">
      <c r="A53" s="9">
        <v>1995</v>
      </c>
      <c r="B53" s="9">
        <v>1.2</v>
      </c>
      <c r="C53" s="9">
        <v>20</v>
      </c>
      <c r="D53" s="10">
        <f t="shared" si="0"/>
        <v>0.07918124604762482</v>
      </c>
      <c r="E53" s="10">
        <f t="shared" si="1"/>
        <v>1.3010299956639813</v>
      </c>
      <c r="F53" s="16"/>
      <c r="G53"/>
    </row>
    <row r="54" spans="1:7" ht="12.75">
      <c r="A54" s="9">
        <v>1996</v>
      </c>
      <c r="B54" s="9">
        <v>4.3</v>
      </c>
      <c r="C54" s="9">
        <v>37</v>
      </c>
      <c r="D54" s="10">
        <f t="shared" si="0"/>
        <v>0.6334684555795865</v>
      </c>
      <c r="E54" s="10">
        <f t="shared" si="1"/>
        <v>1.568201724066995</v>
      </c>
      <c r="F54" s="16"/>
      <c r="G54"/>
    </row>
    <row r="55" spans="1:7" ht="12.75">
      <c r="A55" s="9">
        <v>1997</v>
      </c>
      <c r="B55" s="9">
        <v>2.8</v>
      </c>
      <c r="C55" s="9">
        <v>15</v>
      </c>
      <c r="D55" s="10">
        <f t="shared" si="0"/>
        <v>0.4471580313422192</v>
      </c>
      <c r="E55" s="10">
        <f t="shared" si="1"/>
        <v>1.1760912590556813</v>
      </c>
      <c r="F55" s="16"/>
      <c r="G55"/>
    </row>
    <row r="56" spans="1:7" ht="12.75">
      <c r="A56" s="9">
        <v>1998</v>
      </c>
      <c r="B56" s="9">
        <v>2.9</v>
      </c>
      <c r="C56" s="9">
        <v>17</v>
      </c>
      <c r="D56" s="10">
        <f t="shared" si="0"/>
        <v>0.4623979978989561</v>
      </c>
      <c r="E56" s="10">
        <f t="shared" si="1"/>
        <v>1.2304489213782739</v>
      </c>
      <c r="F56" s="16"/>
      <c r="G56"/>
    </row>
    <row r="57" spans="1:7" ht="12.75">
      <c r="A57" s="9">
        <v>1999</v>
      </c>
      <c r="B57" s="9">
        <v>3</v>
      </c>
      <c r="C57" s="9">
        <v>17</v>
      </c>
      <c r="D57" s="10">
        <f t="shared" si="0"/>
        <v>0.47712125471966244</v>
      </c>
      <c r="E57" s="10">
        <f t="shared" si="1"/>
        <v>1.2304489213782739</v>
      </c>
      <c r="F57" s="16"/>
      <c r="G57"/>
    </row>
    <row r="58" spans="1:7" ht="12.75">
      <c r="A58" s="9">
        <v>2000</v>
      </c>
      <c r="B58" s="9">
        <v>6.24</v>
      </c>
      <c r="C58" s="9">
        <v>14</v>
      </c>
      <c r="D58" s="10">
        <f t="shared" si="0"/>
        <v>0.795184589682424</v>
      </c>
      <c r="E58" s="10">
        <f t="shared" si="1"/>
        <v>1.146128035678238</v>
      </c>
      <c r="F58" s="16"/>
      <c r="G58"/>
    </row>
    <row r="59" spans="1:7" ht="12.75">
      <c r="A59" s="9">
        <v>2001</v>
      </c>
      <c r="B59" s="9">
        <v>10.4</v>
      </c>
      <c r="C59" s="9">
        <v>29</v>
      </c>
      <c r="D59" s="10">
        <f t="shared" si="0"/>
        <v>1.0170333392987803</v>
      </c>
      <c r="E59" s="1">
        <f t="shared" si="1"/>
        <v>1.462397997898956</v>
      </c>
      <c r="F59" s="16"/>
      <c r="G59"/>
    </row>
    <row r="60" spans="1:7" ht="12.75">
      <c r="A60" s="9">
        <v>2002</v>
      </c>
      <c r="B60" s="7">
        <v>9.1</v>
      </c>
      <c r="C60" s="7">
        <v>25</v>
      </c>
      <c r="D60" s="10">
        <f t="shared" si="0"/>
        <v>0.9590413923210935</v>
      </c>
      <c r="E60" s="1">
        <f t="shared" si="1"/>
        <v>1.3979400086720377</v>
      </c>
      <c r="F60" s="111"/>
      <c r="G60"/>
    </row>
    <row r="61" spans="1:7" ht="12.75">
      <c r="A61" s="112" t="s">
        <v>118</v>
      </c>
      <c r="B61" s="113"/>
      <c r="C61" s="113"/>
      <c r="D61" s="7"/>
      <c r="E61" s="110"/>
      <c r="F61" s="111"/>
      <c r="G61"/>
    </row>
    <row r="62" spans="1:7" ht="12.75">
      <c r="A62" s="112" t="s">
        <v>137</v>
      </c>
      <c r="B62" s="113"/>
      <c r="C62" s="113"/>
      <c r="D62" s="7"/>
      <c r="E62" s="110"/>
      <c r="F62" s="111"/>
      <c r="G62"/>
    </row>
    <row r="63" spans="1:7" ht="12.75">
      <c r="A63" s="112" t="s">
        <v>119</v>
      </c>
      <c r="B63" s="113"/>
      <c r="C63" s="113"/>
      <c r="D63" s="7"/>
      <c r="E63" s="110"/>
      <c r="F63" s="111"/>
      <c r="G63"/>
    </row>
    <row r="64" spans="1:7" ht="15.75">
      <c r="A64" s="102"/>
      <c r="B64" s="6" t="s">
        <v>120</v>
      </c>
      <c r="C64" s="7"/>
      <c r="E64" s="1"/>
      <c r="F64" s="16"/>
      <c r="G64"/>
    </row>
    <row r="65" spans="1:7" ht="15.75">
      <c r="A65" s="102"/>
      <c r="B65" s="6" t="s">
        <v>121</v>
      </c>
      <c r="C65" s="6" t="s">
        <v>19</v>
      </c>
      <c r="E65" s="1"/>
      <c r="F65" s="16"/>
      <c r="G65"/>
    </row>
    <row r="66" spans="1:7" ht="12.75">
      <c r="A66"/>
      <c r="B66" s="6" t="s">
        <v>122</v>
      </c>
      <c r="C66" s="6" t="s">
        <v>122</v>
      </c>
      <c r="E66" s="1"/>
      <c r="F66" s="16"/>
      <c r="G66"/>
    </row>
    <row r="67" spans="1:7" ht="18.75">
      <c r="A67" s="103" t="s">
        <v>23</v>
      </c>
      <c r="B67" s="101" t="s">
        <v>130</v>
      </c>
      <c r="C67" s="101" t="s">
        <v>123</v>
      </c>
      <c r="E67" s="1"/>
      <c r="F67" s="16"/>
      <c r="G67"/>
    </row>
    <row r="68" spans="1:7" ht="15.75">
      <c r="A68" s="103">
        <v>1982</v>
      </c>
      <c r="B68" s="136">
        <v>23</v>
      </c>
      <c r="C68" s="104">
        <v>15</v>
      </c>
      <c r="E68" s="1"/>
      <c r="F68" s="16"/>
      <c r="G68"/>
    </row>
    <row r="69" spans="1:7" ht="15.75">
      <c r="A69" s="103">
        <v>1983</v>
      </c>
      <c r="B69" s="136">
        <v>50</v>
      </c>
      <c r="C69" s="104">
        <v>16</v>
      </c>
      <c r="E69" s="1"/>
      <c r="F69" s="16"/>
      <c r="G69"/>
    </row>
    <row r="70" spans="1:7" ht="15.75">
      <c r="A70" s="103">
        <v>1984</v>
      </c>
      <c r="B70" s="136">
        <v>35</v>
      </c>
      <c r="C70" s="103">
        <v>6.7</v>
      </c>
      <c r="E70" s="1"/>
      <c r="F70" s="16"/>
      <c r="G70"/>
    </row>
    <row r="71" spans="1:7" ht="15.75">
      <c r="A71" s="103">
        <v>1985</v>
      </c>
      <c r="B71" s="136">
        <v>28</v>
      </c>
      <c r="C71" s="103">
        <v>8.9</v>
      </c>
      <c r="E71" s="1"/>
      <c r="F71" s="16"/>
      <c r="G71"/>
    </row>
    <row r="72" spans="1:7" ht="18.75">
      <c r="A72" s="103">
        <v>1986</v>
      </c>
      <c r="B72" s="137" t="s">
        <v>124</v>
      </c>
      <c r="C72" s="105" t="s">
        <v>124</v>
      </c>
      <c r="E72" s="1"/>
      <c r="F72" s="16"/>
      <c r="G72"/>
    </row>
    <row r="73" spans="1:7" ht="15.75">
      <c r="A73" s="103">
        <v>1987</v>
      </c>
      <c r="B73" s="136">
        <v>77</v>
      </c>
      <c r="C73" s="106">
        <v>5.683333333333334</v>
      </c>
      <c r="E73" s="1"/>
      <c r="F73" s="16"/>
      <c r="G73"/>
    </row>
    <row r="74" spans="1:7" ht="15.75">
      <c r="A74" s="103">
        <v>1988</v>
      </c>
      <c r="B74" s="136">
        <v>23</v>
      </c>
      <c r="C74" s="107">
        <v>7.6433333333333335</v>
      </c>
      <c r="E74" s="1"/>
      <c r="F74" s="16"/>
      <c r="G74"/>
    </row>
    <row r="75" spans="1:7" ht="15.75">
      <c r="A75" s="103">
        <v>1989</v>
      </c>
      <c r="B75" s="136">
        <v>11</v>
      </c>
      <c r="C75" s="107">
        <v>3.6277777777777778</v>
      </c>
      <c r="E75" s="1"/>
      <c r="F75" s="16"/>
      <c r="G75"/>
    </row>
    <row r="76" spans="1:7" ht="15.75">
      <c r="A76" s="103">
        <v>1990</v>
      </c>
      <c r="B76" s="136">
        <v>15</v>
      </c>
      <c r="C76" s="107">
        <v>7.066666666666666</v>
      </c>
      <c r="E76" s="1"/>
      <c r="F76" s="16"/>
      <c r="G76"/>
    </row>
    <row r="77" spans="1:7" ht="15.75">
      <c r="A77" s="103">
        <v>1991</v>
      </c>
      <c r="B77" s="136">
        <v>25</v>
      </c>
      <c r="C77" s="108">
        <v>2.983333333333333</v>
      </c>
      <c r="E77" s="1"/>
      <c r="F77" s="16"/>
      <c r="G77"/>
    </row>
    <row r="78" spans="1:7" ht="15.75">
      <c r="A78" s="103">
        <v>1992</v>
      </c>
      <c r="B78" s="136">
        <v>15</v>
      </c>
      <c r="C78" s="108">
        <v>3.9291666666666663</v>
      </c>
      <c r="E78" s="1"/>
      <c r="F78" s="16"/>
      <c r="G78"/>
    </row>
    <row r="79" spans="1:7" ht="15.75">
      <c r="A79" s="103">
        <v>1993</v>
      </c>
      <c r="B79" s="136">
        <v>15</v>
      </c>
      <c r="C79" s="108">
        <v>3.9916666666666667</v>
      </c>
      <c r="E79" s="1"/>
      <c r="F79" s="16"/>
      <c r="G79"/>
    </row>
    <row r="80" spans="1:7" ht="15.75">
      <c r="A80" s="103">
        <v>1994</v>
      </c>
      <c r="B80" s="138">
        <v>13</v>
      </c>
      <c r="C80" s="109">
        <v>3.016666666666666</v>
      </c>
      <c r="E80" s="1"/>
      <c r="F80" s="16"/>
      <c r="G80"/>
    </row>
    <row r="81" spans="1:7" ht="15.75">
      <c r="A81" s="103">
        <v>1995</v>
      </c>
      <c r="B81" s="138">
        <v>10</v>
      </c>
      <c r="C81" s="109">
        <v>3.5708333333333333</v>
      </c>
      <c r="E81" s="1"/>
      <c r="F81" s="16"/>
      <c r="G81"/>
    </row>
    <row r="82" spans="1:7" ht="15.75">
      <c r="A82" s="103">
        <v>1996</v>
      </c>
      <c r="B82" s="138">
        <v>19</v>
      </c>
      <c r="C82" s="109">
        <v>3.9142857142857146</v>
      </c>
      <c r="E82" s="1"/>
      <c r="F82" s="16"/>
      <c r="G82"/>
    </row>
    <row r="83" spans="1:7" ht="15.75">
      <c r="A83" s="103">
        <v>1997</v>
      </c>
      <c r="B83" s="138">
        <v>15</v>
      </c>
      <c r="C83" s="109">
        <v>2.411111111111111</v>
      </c>
      <c r="E83" s="1"/>
      <c r="F83" s="16"/>
      <c r="G83"/>
    </row>
    <row r="84" spans="1:7" ht="15.75">
      <c r="A84" s="103">
        <v>1998</v>
      </c>
      <c r="B84" s="139">
        <v>24</v>
      </c>
      <c r="C84" s="107">
        <v>3.8</v>
      </c>
      <c r="E84" s="1"/>
      <c r="F84" s="16"/>
      <c r="G84"/>
    </row>
    <row r="85" spans="1:7" ht="15.75">
      <c r="A85" s="142">
        <v>1999</v>
      </c>
      <c r="B85" s="143">
        <v>17</v>
      </c>
      <c r="C85" s="144">
        <v>4.7</v>
      </c>
      <c r="E85" s="1"/>
      <c r="F85" s="16"/>
      <c r="G85"/>
    </row>
    <row r="86" spans="1:7" ht="12.75">
      <c r="A86" s="9">
        <v>2000</v>
      </c>
      <c r="B86" s="9">
        <v>14</v>
      </c>
      <c r="C86" s="25">
        <v>6.24</v>
      </c>
      <c r="E86" s="1"/>
      <c r="F86" s="16"/>
      <c r="G86"/>
    </row>
    <row r="87" spans="1:7" ht="15.75">
      <c r="A87" s="142">
        <v>2001</v>
      </c>
      <c r="B87" s="143">
        <v>23</v>
      </c>
      <c r="C87" s="144">
        <v>10</v>
      </c>
      <c r="E87" s="1"/>
      <c r="F87" s="16"/>
      <c r="G87"/>
    </row>
    <row r="88" spans="1:7" ht="15.75">
      <c r="A88" s="103">
        <v>2002</v>
      </c>
      <c r="B88" s="136">
        <v>25</v>
      </c>
      <c r="C88" s="103">
        <v>9</v>
      </c>
      <c r="E88" s="1"/>
      <c r="F88" s="16"/>
      <c r="G88"/>
    </row>
    <row r="89" spans="1:7" ht="15.75">
      <c r="A89" s="103" t="s">
        <v>125</v>
      </c>
      <c r="B89" s="136">
        <f>AVERAGE(B68:B71,B73:B88)</f>
        <v>23.85</v>
      </c>
      <c r="C89" s="106">
        <f>AVERAGE(C68:C71,C73:C88)</f>
        <v>6.408908730158728</v>
      </c>
      <c r="E89" s="1"/>
      <c r="F89" s="16"/>
      <c r="G89"/>
    </row>
    <row r="90" spans="1:7" ht="15.75">
      <c r="A90" s="103" t="s">
        <v>126</v>
      </c>
      <c r="B90" s="136">
        <f>STDEVP(B68:B71,B73:B88)</f>
        <v>15.183132087945491</v>
      </c>
      <c r="C90" s="106">
        <f>STDEVP(C68:C71,C73:C88)</f>
        <v>3.722653613621944</v>
      </c>
      <c r="E90" s="1"/>
      <c r="F90" s="16"/>
      <c r="G90"/>
    </row>
    <row r="91" spans="1:7" ht="15.75">
      <c r="A91" s="103" t="s">
        <v>127</v>
      </c>
      <c r="B91" s="136">
        <f>MAX(B68:B71,B73:B85)</f>
        <v>77</v>
      </c>
      <c r="C91" s="106">
        <f>MAX(C68:C71,C73:C88)</f>
        <v>16</v>
      </c>
      <c r="E91" s="1"/>
      <c r="F91" s="16"/>
      <c r="G91"/>
    </row>
    <row r="92" spans="1:7" ht="15.75">
      <c r="A92" s="103" t="s">
        <v>128</v>
      </c>
      <c r="B92" s="136">
        <f>MIN(B68:B71,B73:B88)</f>
        <v>10</v>
      </c>
      <c r="C92" s="106">
        <f>MIN(C68:C71,C73:C88)</f>
        <v>2.411111111111111</v>
      </c>
      <c r="E92" s="1"/>
      <c r="F92" s="16"/>
      <c r="G92"/>
    </row>
    <row r="93" spans="1:7" ht="15.75">
      <c r="A93" s="103" t="s">
        <v>129</v>
      </c>
      <c r="B93" s="104">
        <f>COUNTA(B68:B71,B73:B88)</f>
        <v>20</v>
      </c>
      <c r="C93" s="104">
        <f>COUNTA(C68:C71,C73:C88)</f>
        <v>20</v>
      </c>
      <c r="E93" s="1"/>
      <c r="F93" s="16"/>
      <c r="G93"/>
    </row>
    <row r="94" spans="5:7" ht="12.75">
      <c r="E94" s="1"/>
      <c r="F94" s="16"/>
      <c r="G94"/>
    </row>
    <row r="95" spans="5:7" ht="12.75">
      <c r="E95" s="1"/>
      <c r="F95" s="16"/>
      <c r="G95"/>
    </row>
    <row r="96" spans="5:7" ht="12.75">
      <c r="E96" s="1"/>
      <c r="F96" s="16"/>
      <c r="G96"/>
    </row>
    <row r="97" spans="5:7" ht="12.75">
      <c r="E97" s="1"/>
      <c r="F97" s="16"/>
      <c r="G97"/>
    </row>
    <row r="98" spans="5:7" ht="12.75">
      <c r="E98" s="1"/>
      <c r="F98" s="16"/>
      <c r="G98"/>
    </row>
    <row r="236" spans="5:7" ht="12.75">
      <c r="E236"/>
      <c r="F236" s="16"/>
      <c r="G236"/>
    </row>
    <row r="237" spans="5:7" ht="12.75">
      <c r="E237"/>
      <c r="F237" s="16"/>
      <c r="G237"/>
    </row>
    <row r="238" spans="5:7" ht="12.75">
      <c r="E238"/>
      <c r="F238" s="16"/>
      <c r="G238"/>
    </row>
    <row r="239" spans="5:7" ht="12.75">
      <c r="E239"/>
      <c r="F239" s="16"/>
      <c r="G239"/>
    </row>
    <row r="240" spans="5:7" ht="12.75">
      <c r="E240"/>
      <c r="F240" s="16"/>
      <c r="G240"/>
    </row>
    <row r="241" spans="5:7" ht="12.75">
      <c r="E241"/>
      <c r="F241" s="16"/>
      <c r="G241"/>
    </row>
    <row r="242" spans="5:7" ht="12.75">
      <c r="E242"/>
      <c r="F242" s="16"/>
      <c r="G242"/>
    </row>
    <row r="243" spans="5:7" ht="12.75">
      <c r="E243"/>
      <c r="F243" s="16"/>
      <c r="G243"/>
    </row>
    <row r="244" spans="5:7" ht="12.75">
      <c r="E244"/>
      <c r="F244" s="16"/>
      <c r="G244"/>
    </row>
    <row r="245" spans="5:7" ht="12.75">
      <c r="E245"/>
      <c r="F245" s="16"/>
      <c r="G245"/>
    </row>
    <row r="246" spans="5:7" ht="12.75">
      <c r="E246"/>
      <c r="F246" s="16"/>
      <c r="G246"/>
    </row>
    <row r="247" spans="5:7" ht="12.75">
      <c r="E247"/>
      <c r="F247" s="16"/>
      <c r="G247"/>
    </row>
    <row r="248" spans="5:7" ht="12.75">
      <c r="E248"/>
      <c r="F248" s="16"/>
      <c r="G248"/>
    </row>
    <row r="249" spans="5:7" ht="12.75">
      <c r="E249"/>
      <c r="F249" s="16"/>
      <c r="G249"/>
    </row>
    <row r="250" spans="5:7" ht="12.75">
      <c r="E250"/>
      <c r="F250" s="16"/>
      <c r="G250"/>
    </row>
    <row r="251" spans="5:7" ht="12.75">
      <c r="E251"/>
      <c r="F251" s="16"/>
      <c r="G251"/>
    </row>
    <row r="252" spans="5:7" ht="12.75">
      <c r="E252"/>
      <c r="F252" s="16"/>
      <c r="G252"/>
    </row>
    <row r="253" spans="5:7" ht="12.75">
      <c r="E253"/>
      <c r="F253" s="16"/>
      <c r="G253"/>
    </row>
    <row r="254" spans="5:7" ht="12.75">
      <c r="E254"/>
      <c r="F254" s="16"/>
      <c r="G254"/>
    </row>
    <row r="255" spans="5:7" ht="12.75">
      <c r="E255"/>
      <c r="F255" s="16"/>
      <c r="G255"/>
    </row>
    <row r="256" spans="5:7" ht="12.75">
      <c r="E256"/>
      <c r="F256" s="16"/>
      <c r="G256"/>
    </row>
    <row r="257" spans="5:7" ht="12.75">
      <c r="E257"/>
      <c r="F257" s="16"/>
      <c r="G257"/>
    </row>
    <row r="258" spans="5:7" ht="12.75">
      <c r="E258"/>
      <c r="F258" s="16"/>
      <c r="G258"/>
    </row>
    <row r="259" spans="5:7" ht="12.75">
      <c r="E259"/>
      <c r="F259" s="16"/>
      <c r="G259"/>
    </row>
    <row r="260" spans="5:7" ht="12.75">
      <c r="E260"/>
      <c r="F260" s="16"/>
      <c r="G260"/>
    </row>
    <row r="261" spans="5:7" ht="12.75">
      <c r="E261"/>
      <c r="F261" s="16"/>
      <c r="G261"/>
    </row>
    <row r="262" spans="5:7" ht="12.75">
      <c r="E262"/>
      <c r="F262" s="16"/>
      <c r="G262"/>
    </row>
    <row r="263" spans="5:7" ht="12.75">
      <c r="E263"/>
      <c r="F263" s="16"/>
      <c r="G263"/>
    </row>
    <row r="264" spans="5:7" ht="12.75">
      <c r="E264"/>
      <c r="F264" s="16"/>
      <c r="G264"/>
    </row>
    <row r="265" spans="5:7" ht="12.75">
      <c r="E265"/>
      <c r="F265" s="16"/>
      <c r="G265"/>
    </row>
    <row r="266" spans="5:7" ht="12.75">
      <c r="E266"/>
      <c r="F266" s="16"/>
      <c r="G266"/>
    </row>
    <row r="267" spans="5:7" ht="12.75">
      <c r="E267"/>
      <c r="F267" s="16"/>
      <c r="G267"/>
    </row>
    <row r="268" spans="5:7" ht="12.75">
      <c r="E268"/>
      <c r="F268" s="16"/>
      <c r="G268"/>
    </row>
    <row r="269" spans="5:7" ht="12.75">
      <c r="E269"/>
      <c r="F269" s="16"/>
      <c r="G269"/>
    </row>
    <row r="270" spans="5:7" ht="12.75">
      <c r="E270"/>
      <c r="F270" s="16"/>
      <c r="G270"/>
    </row>
    <row r="271" spans="5:7" ht="12.75">
      <c r="E271"/>
      <c r="F271" s="16"/>
      <c r="G271"/>
    </row>
    <row r="272" spans="5:7" ht="12.75">
      <c r="E272"/>
      <c r="F272" s="16"/>
      <c r="G272"/>
    </row>
    <row r="273" spans="5:7" ht="12.75">
      <c r="E273"/>
      <c r="F273" s="16"/>
      <c r="G273"/>
    </row>
    <row r="274" spans="5:7" ht="12.75">
      <c r="E274"/>
      <c r="F274" s="16"/>
      <c r="G274"/>
    </row>
    <row r="275" spans="5:7" ht="12.75">
      <c r="E275"/>
      <c r="F275" s="16"/>
      <c r="G275"/>
    </row>
    <row r="276" spans="5:7" ht="12.75">
      <c r="E276"/>
      <c r="F276" s="16"/>
      <c r="G276"/>
    </row>
    <row r="277" spans="5:7" ht="12.75">
      <c r="E277"/>
      <c r="F277" s="16"/>
      <c r="G277"/>
    </row>
    <row r="278" spans="5:7" ht="12.75">
      <c r="E278"/>
      <c r="F278" s="16"/>
      <c r="G278"/>
    </row>
    <row r="279" spans="5:7" ht="12.75">
      <c r="E279"/>
      <c r="F279" s="16"/>
      <c r="G279"/>
    </row>
    <row r="280" spans="5:7" ht="12.75">
      <c r="E280"/>
      <c r="F280" s="16"/>
      <c r="G280"/>
    </row>
    <row r="281" spans="5:7" ht="12.75">
      <c r="E281"/>
      <c r="F281" s="16"/>
      <c r="G281"/>
    </row>
    <row r="282" spans="5:7" ht="12.75">
      <c r="E282"/>
      <c r="F282" s="16"/>
      <c r="G282"/>
    </row>
    <row r="283" spans="5:7" ht="12.75">
      <c r="E283"/>
      <c r="F283" s="16"/>
      <c r="G283"/>
    </row>
    <row r="284" spans="5:7" ht="12.75">
      <c r="E284"/>
      <c r="F284" s="16"/>
      <c r="G284"/>
    </row>
    <row r="285" spans="5:7" ht="12.75">
      <c r="E285"/>
      <c r="F285" s="16"/>
      <c r="G285"/>
    </row>
    <row r="286" spans="5:7" ht="12.75">
      <c r="E286"/>
      <c r="F286" s="16"/>
      <c r="G286"/>
    </row>
    <row r="287" spans="5:7" ht="12.75">
      <c r="E287"/>
      <c r="F287" s="16"/>
      <c r="G287"/>
    </row>
    <row r="288" spans="5:7" ht="12.75">
      <c r="E288"/>
      <c r="F288" s="16"/>
      <c r="G288"/>
    </row>
    <row r="289" spans="5:7" ht="12.75">
      <c r="E289"/>
      <c r="F289" s="16"/>
      <c r="G289"/>
    </row>
    <row r="290" spans="5:7" ht="12.75">
      <c r="E290"/>
      <c r="F290" s="16"/>
      <c r="G290"/>
    </row>
    <row r="291" spans="5:7" ht="12.75">
      <c r="E291"/>
      <c r="F291" s="16"/>
      <c r="G291"/>
    </row>
    <row r="292" spans="5:7" ht="12.75">
      <c r="E292"/>
      <c r="F292" s="16"/>
      <c r="G292"/>
    </row>
    <row r="293" spans="5:7" ht="12.75">
      <c r="E293"/>
      <c r="F293" s="16"/>
      <c r="G293"/>
    </row>
    <row r="294" spans="5:7" ht="12.75">
      <c r="E294"/>
      <c r="F294" s="16"/>
      <c r="G294"/>
    </row>
    <row r="295" spans="5:7" ht="12.75">
      <c r="E295"/>
      <c r="F295" s="16"/>
      <c r="G295"/>
    </row>
    <row r="296" spans="5:7" ht="12.75">
      <c r="E296"/>
      <c r="F296" s="16"/>
      <c r="G296"/>
    </row>
    <row r="297" spans="5:7" ht="12.75">
      <c r="E297"/>
      <c r="F297" s="16"/>
      <c r="G297"/>
    </row>
    <row r="298" spans="5:7" ht="12.75">
      <c r="E298"/>
      <c r="F298" s="16"/>
      <c r="G298"/>
    </row>
    <row r="299" spans="5:7" ht="12.75">
      <c r="E299"/>
      <c r="F299" s="16"/>
      <c r="G299"/>
    </row>
    <row r="300" spans="5:7" ht="12.75">
      <c r="E300"/>
      <c r="F300" s="16"/>
      <c r="G300"/>
    </row>
    <row r="301" spans="5:7" ht="12.75">
      <c r="E301"/>
      <c r="F301" s="16"/>
      <c r="G301"/>
    </row>
    <row r="302" spans="5:7" ht="12.75">
      <c r="E302"/>
      <c r="F302" s="16"/>
      <c r="G302"/>
    </row>
    <row r="303" spans="5:7" ht="12.75">
      <c r="E303"/>
      <c r="F303" s="16"/>
      <c r="G303"/>
    </row>
    <row r="304" spans="5:7" ht="12.75">
      <c r="E304"/>
      <c r="F304" s="16"/>
      <c r="G304"/>
    </row>
    <row r="305" spans="5:7" ht="12.75">
      <c r="E305"/>
      <c r="F305" s="16"/>
      <c r="G305"/>
    </row>
    <row r="306" spans="5:7" ht="12.75">
      <c r="E306"/>
      <c r="F306" s="16"/>
      <c r="G306"/>
    </row>
    <row r="307" spans="5:7" ht="12.75">
      <c r="E307"/>
      <c r="F307" s="16"/>
      <c r="G307"/>
    </row>
    <row r="308" spans="5:7" ht="12.75">
      <c r="E308"/>
      <c r="F308" s="16"/>
      <c r="G308"/>
    </row>
    <row r="309" spans="5:7" ht="12.75">
      <c r="E309"/>
      <c r="F309" s="16"/>
      <c r="G309"/>
    </row>
    <row r="310" spans="5:7" ht="12.75">
      <c r="E310"/>
      <c r="F310" s="16"/>
      <c r="G310"/>
    </row>
    <row r="311" spans="5:7" ht="12.75">
      <c r="E311"/>
      <c r="F311" s="16"/>
      <c r="G311"/>
    </row>
    <row r="312" spans="5:7" ht="12.75">
      <c r="E312"/>
      <c r="F312" s="16"/>
      <c r="G312"/>
    </row>
    <row r="313" spans="5:7" ht="12.75">
      <c r="E313"/>
      <c r="F313" s="16"/>
      <c r="G313"/>
    </row>
    <row r="314" spans="5:7" ht="12.75">
      <c r="E314"/>
      <c r="F314" s="16"/>
      <c r="G314"/>
    </row>
    <row r="315" spans="5:7" ht="12.75">
      <c r="E315"/>
      <c r="F315" s="16"/>
      <c r="G315"/>
    </row>
    <row r="316" spans="5:7" ht="12.75">
      <c r="E316"/>
      <c r="F316" s="16"/>
      <c r="G316"/>
    </row>
    <row r="317" spans="5:7" ht="12.75">
      <c r="E317"/>
      <c r="F317" s="16"/>
      <c r="G317"/>
    </row>
    <row r="318" spans="5:7" ht="12.75">
      <c r="E318"/>
      <c r="F318" s="16"/>
      <c r="G318"/>
    </row>
    <row r="319" spans="5:7" ht="12.75">
      <c r="E319"/>
      <c r="F319" s="16"/>
      <c r="G319"/>
    </row>
    <row r="320" spans="5:7" ht="12.75">
      <c r="E320"/>
      <c r="F320" s="16"/>
      <c r="G320"/>
    </row>
    <row r="321" spans="5:7" ht="12.75">
      <c r="E321"/>
      <c r="F321" s="16"/>
      <c r="G321"/>
    </row>
    <row r="322" spans="5:7" ht="12.75">
      <c r="E322"/>
      <c r="F322" s="16"/>
      <c r="G322"/>
    </row>
    <row r="323" spans="5:7" ht="12.75">
      <c r="E323"/>
      <c r="F323" s="16"/>
      <c r="G323"/>
    </row>
    <row r="324" spans="5:7" ht="12.75">
      <c r="E324"/>
      <c r="F324" s="16"/>
      <c r="G324"/>
    </row>
    <row r="325" spans="5:7" ht="12.75">
      <c r="E325"/>
      <c r="F325" s="16"/>
      <c r="G325"/>
    </row>
    <row r="326" spans="5:7" ht="12.75">
      <c r="E326"/>
      <c r="F326" s="16"/>
      <c r="G326"/>
    </row>
    <row r="327" spans="5:7" ht="12.75">
      <c r="E327"/>
      <c r="F327" s="16"/>
      <c r="G327"/>
    </row>
    <row r="328" spans="5:7" ht="12.75">
      <c r="E328"/>
      <c r="F328" s="16"/>
      <c r="G328"/>
    </row>
    <row r="329" spans="5:7" ht="12.75">
      <c r="E329"/>
      <c r="F329" s="16"/>
      <c r="G329"/>
    </row>
    <row r="330" spans="5:7" ht="12.75">
      <c r="E330"/>
      <c r="F330" s="16"/>
      <c r="G330"/>
    </row>
    <row r="331" spans="5:7" ht="12.75">
      <c r="E331"/>
      <c r="F331" s="16"/>
      <c r="G331"/>
    </row>
    <row r="332" spans="5:7" ht="12.75">
      <c r="E332"/>
      <c r="F332" s="16"/>
      <c r="G332"/>
    </row>
    <row r="333" spans="5:7" ht="12.75">
      <c r="E333"/>
      <c r="F333" s="16"/>
      <c r="G333"/>
    </row>
    <row r="334" spans="5:7" ht="12.75">
      <c r="E334"/>
      <c r="F334" s="16"/>
      <c r="G334"/>
    </row>
    <row r="335" spans="5:7" ht="12.75">
      <c r="E335"/>
      <c r="F335" s="16"/>
      <c r="G335"/>
    </row>
    <row r="336" spans="5:7" ht="12.75">
      <c r="E336"/>
      <c r="F336" s="16"/>
      <c r="G336"/>
    </row>
    <row r="337" spans="5:7" ht="12.75">
      <c r="E337"/>
      <c r="F337" s="16"/>
      <c r="G337"/>
    </row>
    <row r="338" spans="5:7" ht="12.75">
      <c r="E338"/>
      <c r="F338" s="16"/>
      <c r="G338"/>
    </row>
    <row r="339" spans="5:7" ht="12.75">
      <c r="E339"/>
      <c r="F339" s="16"/>
      <c r="G339"/>
    </row>
    <row r="340" spans="5:7" ht="12.75">
      <c r="E340"/>
      <c r="F340" s="16"/>
      <c r="G340"/>
    </row>
    <row r="341" spans="5:7" ht="12.75">
      <c r="E341"/>
      <c r="F341" s="16"/>
      <c r="G341"/>
    </row>
    <row r="342" spans="5:7" ht="12.75">
      <c r="E342"/>
      <c r="F342" s="16"/>
      <c r="G342"/>
    </row>
    <row r="343" spans="5:7" ht="12.75">
      <c r="E343"/>
      <c r="F343" s="16"/>
      <c r="G343"/>
    </row>
    <row r="344" spans="5:7" ht="12.75">
      <c r="E344"/>
      <c r="F344" s="16"/>
      <c r="G344"/>
    </row>
    <row r="345" spans="5:7" ht="12.75">
      <c r="E345"/>
      <c r="F345" s="16"/>
      <c r="G345"/>
    </row>
    <row r="346" spans="5:7" ht="12.75">
      <c r="E346"/>
      <c r="F346" s="16"/>
      <c r="G346"/>
    </row>
    <row r="347" spans="5:7" ht="12.75">
      <c r="E347"/>
      <c r="F347" s="16"/>
      <c r="G347"/>
    </row>
    <row r="348" spans="5:7" ht="12.75">
      <c r="E348"/>
      <c r="F348" s="16"/>
      <c r="G348"/>
    </row>
    <row r="349" spans="5:7" ht="12.75">
      <c r="E349"/>
      <c r="F349" s="16"/>
      <c r="G349"/>
    </row>
    <row r="350" spans="5:7" ht="12.75">
      <c r="E350"/>
      <c r="F350" s="16"/>
      <c r="G350"/>
    </row>
    <row r="351" spans="5:7" ht="12.75">
      <c r="E351"/>
      <c r="F351" s="16"/>
      <c r="G351"/>
    </row>
    <row r="352" spans="5:7" ht="12.75">
      <c r="E352"/>
      <c r="F352" s="16"/>
      <c r="G352"/>
    </row>
    <row r="353" spans="5:7" ht="12.75">
      <c r="E353"/>
      <c r="F353" s="16"/>
      <c r="G353"/>
    </row>
    <row r="354" spans="5:7" ht="12.75">
      <c r="E354"/>
      <c r="F354" s="16"/>
      <c r="G354"/>
    </row>
    <row r="355" spans="5:7" ht="12.75">
      <c r="E355"/>
      <c r="F355" s="16"/>
      <c r="G355"/>
    </row>
    <row r="356" spans="5:7" ht="12.75">
      <c r="E356"/>
      <c r="F356" s="16"/>
      <c r="G356"/>
    </row>
    <row r="357" spans="5:7" ht="12.75">
      <c r="E357"/>
      <c r="F357" s="16"/>
      <c r="G357"/>
    </row>
    <row r="358" spans="5:7" ht="12.75">
      <c r="E358"/>
      <c r="F358" s="16"/>
      <c r="G358"/>
    </row>
    <row r="359" spans="5:7" ht="12.75">
      <c r="E359"/>
      <c r="F359" s="16"/>
      <c r="G359"/>
    </row>
    <row r="360" spans="5:7" ht="12.75">
      <c r="E360"/>
      <c r="F360" s="16"/>
      <c r="G360"/>
    </row>
    <row r="361" spans="5:7" ht="12.75">
      <c r="E361"/>
      <c r="F361" s="16"/>
      <c r="G361"/>
    </row>
    <row r="362" spans="5:7" ht="12.75">
      <c r="E362"/>
      <c r="F362" s="16"/>
      <c r="G362"/>
    </row>
    <row r="363" spans="5:7" ht="12.75">
      <c r="E363"/>
      <c r="F363" s="16"/>
      <c r="G363"/>
    </row>
    <row r="364" spans="5:7" ht="12.75">
      <c r="E364"/>
      <c r="F364" s="16"/>
      <c r="G364"/>
    </row>
    <row r="365" spans="5:7" ht="12.75">
      <c r="E365"/>
      <c r="F365" s="16"/>
      <c r="G365"/>
    </row>
    <row r="366" spans="5:7" ht="12.75">
      <c r="E366"/>
      <c r="F366" s="16"/>
      <c r="G366"/>
    </row>
    <row r="367" spans="5:7" ht="12.75">
      <c r="E367"/>
      <c r="F367" s="16"/>
      <c r="G367"/>
    </row>
    <row r="368" spans="5:7" ht="12.75">
      <c r="E368"/>
      <c r="F368" s="16"/>
      <c r="G368"/>
    </row>
    <row r="369" spans="5:7" ht="12.75">
      <c r="E369"/>
      <c r="F369" s="16"/>
      <c r="G369"/>
    </row>
    <row r="370" spans="5:7" ht="12.75">
      <c r="E370"/>
      <c r="F370" s="16"/>
      <c r="G370"/>
    </row>
    <row r="371" spans="5:7" ht="12.75">
      <c r="E371"/>
      <c r="F371" s="16"/>
      <c r="G371"/>
    </row>
    <row r="372" spans="5:7" ht="12.75">
      <c r="E372"/>
      <c r="F372" s="16"/>
      <c r="G372"/>
    </row>
    <row r="373" spans="5:7" ht="12.75">
      <c r="E373"/>
      <c r="F373" s="16"/>
      <c r="G373"/>
    </row>
    <row r="374" spans="5:7" ht="12.75">
      <c r="E374"/>
      <c r="F374" s="16"/>
      <c r="G374"/>
    </row>
    <row r="375" spans="5:7" ht="12.75">
      <c r="E375"/>
      <c r="F375" s="16"/>
      <c r="G375"/>
    </row>
    <row r="376" spans="5:7" ht="12.75">
      <c r="E376"/>
      <c r="F376" s="16"/>
      <c r="G376"/>
    </row>
    <row r="377" spans="5:7" ht="12.75">
      <c r="E377"/>
      <c r="F377" s="16"/>
      <c r="G377"/>
    </row>
    <row r="378" spans="5:7" ht="12.75">
      <c r="E378"/>
      <c r="F378" s="16"/>
      <c r="G3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24">
      <selection activeCell="F129" sqref="F129"/>
    </sheetView>
  </sheetViews>
  <sheetFormatPr defaultColWidth="9.140625" defaultRowHeight="12.75"/>
  <cols>
    <col min="1" max="1" width="7.28125" style="10" customWidth="1"/>
    <col min="2" max="4" width="12.57421875" style="10" bestFit="1" customWidth="1"/>
    <col min="5" max="5" width="11.57421875" style="10" bestFit="1" customWidth="1"/>
    <col min="6" max="6" width="12.57421875" style="10" customWidth="1"/>
    <col min="7" max="7" width="11.421875" style="10" customWidth="1"/>
    <col min="8" max="8" width="9.140625" style="10" customWidth="1"/>
    <col min="9" max="9" width="9.8515625" style="10" customWidth="1"/>
    <col min="10" max="10" width="10.140625" style="10" customWidth="1"/>
    <col min="11" max="16384" width="9.140625" style="10" customWidth="1"/>
  </cols>
  <sheetData>
    <row r="1" spans="1:7" ht="15.75">
      <c r="A1" s="231" t="s">
        <v>161</v>
      </c>
      <c r="B1" s="232"/>
      <c r="C1" s="232"/>
      <c r="D1" s="232"/>
      <c r="E1" s="232"/>
      <c r="F1" s="232"/>
      <c r="G1" s="233"/>
    </row>
    <row r="2" spans="1:7" ht="12.75">
      <c r="A2" s="46" t="s">
        <v>12</v>
      </c>
      <c r="B2" s="46" t="s">
        <v>100</v>
      </c>
      <c r="C2" s="46" t="s">
        <v>84</v>
      </c>
      <c r="D2" s="49" t="s">
        <v>101</v>
      </c>
      <c r="E2" s="49" t="s">
        <v>11</v>
      </c>
      <c r="F2" s="49" t="s">
        <v>102</v>
      </c>
      <c r="G2" s="82" t="s">
        <v>115</v>
      </c>
    </row>
    <row r="3" spans="1:7" ht="12.75">
      <c r="A3" s="50" t="s">
        <v>83</v>
      </c>
      <c r="B3" s="28">
        <f>(F116*Nutrient!B109)*2.723</f>
        <v>3903.5576302799996</v>
      </c>
      <c r="C3" s="28">
        <f>(G116*Nutrient!B87)*2.723</f>
        <v>2426.6670225630005</v>
      </c>
      <c r="D3" s="28">
        <f>(H116*Nutrient!B126)*2.723</f>
        <v>1784.3878361400002</v>
      </c>
      <c r="E3" s="28">
        <f>(I116*Nutrient!B68)*2.723</f>
        <v>21.16685928</v>
      </c>
      <c r="F3" s="28">
        <f aca="true" t="shared" si="0" ref="F3:F14">(B3+C3)-E3</f>
        <v>6309.057793563001</v>
      </c>
      <c r="G3" s="28">
        <f>SUM(B3:C3)</f>
        <v>6330.2246528430005</v>
      </c>
    </row>
    <row r="4" spans="1:7" ht="12.75">
      <c r="A4" s="50" t="s">
        <v>0</v>
      </c>
      <c r="B4" s="28">
        <f>(F117*Nutrient!B110)*2.723</f>
        <v>2169.6030761999996</v>
      </c>
      <c r="C4" s="28">
        <f>(G117*Nutrient!B88)*2.723</f>
        <v>2898.34780284</v>
      </c>
      <c r="D4" s="28">
        <f>(H117*Nutrient!B127)*2.723</f>
        <v>1669.1580460799998</v>
      </c>
      <c r="E4" s="28">
        <f>(I117*Nutrient!B69)*2.723</f>
        <v>364.67474702400006</v>
      </c>
      <c r="F4" s="28">
        <f t="shared" si="0"/>
        <v>4703.276132016</v>
      </c>
      <c r="G4" s="28">
        <f aca="true" t="shared" si="1" ref="G4:G14">SUM(B4:C4)</f>
        <v>5067.95087904</v>
      </c>
    </row>
    <row r="5" spans="1:7" ht="12.75">
      <c r="A5" s="50" t="s">
        <v>1</v>
      </c>
      <c r="B5" s="28">
        <f>(F118*Nutrient!B111)*2.723</f>
        <v>1764.3009186599998</v>
      </c>
      <c r="C5" s="28">
        <f>(G118*Nutrient!B89)*2.723</f>
        <v>5718.745406556</v>
      </c>
      <c r="D5" s="28">
        <f>(H118*Nutrient!B128)*2.723</f>
        <v>3254.08063176</v>
      </c>
      <c r="E5" s="28">
        <f>(I118*Nutrient!B70)*2.723</f>
        <v>154.334482638</v>
      </c>
      <c r="F5" s="28">
        <f t="shared" si="0"/>
        <v>7328.711842577999</v>
      </c>
      <c r="G5" s="28">
        <f t="shared" si="1"/>
        <v>7483.046325215999</v>
      </c>
    </row>
    <row r="6" spans="1:7" ht="12.75">
      <c r="A6" s="50" t="s">
        <v>2</v>
      </c>
      <c r="B6" s="28">
        <f>(F119*Nutrient!B112)*2.723</f>
        <v>2478.466431</v>
      </c>
      <c r="C6" s="28">
        <f>(G119*Nutrient!B90)*2.723</f>
        <v>425.7130575599999</v>
      </c>
      <c r="D6" s="28">
        <f>(H119*Nutrient!B129)*2.723</f>
        <v>1731.6866763</v>
      </c>
      <c r="E6" s="28">
        <f>(I119*Nutrient!B71)*2.723</f>
        <v>12.9593016</v>
      </c>
      <c r="F6" s="28">
        <f t="shared" si="0"/>
        <v>2891.22018696</v>
      </c>
      <c r="G6" s="28">
        <f t="shared" si="1"/>
        <v>2904.1794885599998</v>
      </c>
    </row>
    <row r="7" spans="1:7" ht="12.75">
      <c r="A7" s="50" t="s">
        <v>3</v>
      </c>
      <c r="B7" s="28">
        <f>(F120*Nutrient!B113)*2.723</f>
        <v>921.9895123320001</v>
      </c>
      <c r="C7" s="28">
        <f>(G120*Nutrient!B91)*2.723</f>
        <v>245.56256619299998</v>
      </c>
      <c r="D7" s="28">
        <f>(H120*Nutrient!B130)*2.723</f>
        <v>1357.5408396900002</v>
      </c>
      <c r="E7" s="28">
        <f>(I120*Nutrient!B72)*2.723</f>
        <v>7.699985034</v>
      </c>
      <c r="F7" s="28">
        <f t="shared" si="0"/>
        <v>1159.852093491</v>
      </c>
      <c r="G7" s="28">
        <f t="shared" si="1"/>
        <v>1167.552078525</v>
      </c>
    </row>
    <row r="8" spans="1:7" ht="12.75">
      <c r="A8" s="50" t="s">
        <v>4</v>
      </c>
      <c r="B8" s="28">
        <f>(F121*Nutrient!B114)*2.723</f>
        <v>323.33457491999997</v>
      </c>
      <c r="C8" s="28">
        <f>(G121*Nutrient!B92)*2.723</f>
        <v>12.14934525</v>
      </c>
      <c r="D8" s="28">
        <f>(H121*Nutrient!B131)*2.723</f>
        <v>2867.9744397150002</v>
      </c>
      <c r="E8" s="28">
        <f>(I121*Nutrient!B73)*2.723</f>
        <v>6.4796508</v>
      </c>
      <c r="F8" s="28">
        <f t="shared" si="0"/>
        <v>329.00426937</v>
      </c>
      <c r="G8" s="28">
        <f t="shared" si="1"/>
        <v>335.48392017</v>
      </c>
    </row>
    <row r="9" spans="1:7" ht="12.75">
      <c r="A9" s="50" t="s">
        <v>5</v>
      </c>
      <c r="B9" s="28">
        <f>(F122*Nutrient!B115)*2.723</f>
        <v>1645.118541612</v>
      </c>
      <c r="C9" s="28">
        <f>(G122*Nutrient!B93)*2.723</f>
        <v>64.79704797090001</v>
      </c>
      <c r="D9" s="28">
        <f>(H122*Nutrient!B132)*2.723</f>
        <v>3186.454676244</v>
      </c>
      <c r="E9" s="28">
        <f>(I122*Nutrient!B74)*2.723</f>
        <v>12.721714403999998</v>
      </c>
      <c r="F9" s="28">
        <f t="shared" si="0"/>
        <v>1697.1938751788998</v>
      </c>
      <c r="G9" s="28">
        <f t="shared" si="1"/>
        <v>1709.9155895828999</v>
      </c>
    </row>
    <row r="10" spans="1:7" ht="12.75">
      <c r="A10" s="50" t="s">
        <v>6</v>
      </c>
      <c r="B10" s="28">
        <f>(F123*Nutrient!B116)*2.723</f>
        <v>1230.8258685869998</v>
      </c>
      <c r="C10" s="28">
        <f>(G123*Nutrient!B94)*2.723</f>
        <v>0</v>
      </c>
      <c r="D10" s="28">
        <f>(H123*Nutrient!B133)*2.723</f>
        <v>2003.67001863</v>
      </c>
      <c r="E10" s="28">
        <f>(I123*Nutrient!B75)*2.723</f>
        <v>5.6912932860000005</v>
      </c>
      <c r="F10" s="28">
        <f t="shared" si="0"/>
        <v>1225.1345753009998</v>
      </c>
      <c r="G10" s="28">
        <f t="shared" si="1"/>
        <v>1230.8258685869998</v>
      </c>
    </row>
    <row r="11" spans="1:7" ht="12.75">
      <c r="A11" s="50" t="s">
        <v>7</v>
      </c>
      <c r="B11" s="28">
        <f>(F124*Nutrient!B117)*2.723</f>
        <v>1474.120557</v>
      </c>
      <c r="C11" s="28">
        <f>(G124*Nutrient!B95)*2.723</f>
        <v>0</v>
      </c>
      <c r="D11" s="28">
        <f>(H124*Nutrient!B134)*2.723</f>
        <v>2149.94813544</v>
      </c>
      <c r="E11" s="28">
        <f>(I124*Nutrient!B76)*2.723</f>
        <v>5.02172937</v>
      </c>
      <c r="F11" s="28">
        <f t="shared" si="0"/>
        <v>1469.09882763</v>
      </c>
      <c r="G11" s="28">
        <f t="shared" si="1"/>
        <v>1474.120557</v>
      </c>
    </row>
    <row r="12" spans="1:7" ht="12.75">
      <c r="A12" s="50" t="s">
        <v>8</v>
      </c>
      <c r="B12" s="28">
        <f>(F125*Nutrient!B118)*2.723</f>
        <v>108.80413635</v>
      </c>
      <c r="C12" s="28">
        <f>(G125*Nutrient!B96)*2.723</f>
        <v>0</v>
      </c>
      <c r="D12" s="28">
        <f>(H125*Nutrient!B135)*2.723</f>
        <v>1671.7337072730002</v>
      </c>
      <c r="E12" s="28">
        <f>(I125*Nutrient!B77)*2.723</f>
        <v>4.352165454</v>
      </c>
      <c r="F12" s="28">
        <f t="shared" si="0"/>
        <v>104.45197089599999</v>
      </c>
      <c r="G12" s="28">
        <f t="shared" si="1"/>
        <v>108.80413635</v>
      </c>
    </row>
    <row r="13" spans="1:7" ht="12.75">
      <c r="A13" s="50" t="s">
        <v>9</v>
      </c>
      <c r="B13" s="28">
        <f>(F126*Nutrient!B119)*2.723</f>
        <v>68.68429848000001</v>
      </c>
      <c r="C13" s="28">
        <f>(G126*Nutrient!B97)*2.723</f>
        <v>366.08407107299996</v>
      </c>
      <c r="D13" s="28">
        <f>(H126*Nutrient!B136)*2.723</f>
        <v>1282.4362872090003</v>
      </c>
      <c r="E13" s="28">
        <f>(I126*Nutrient!B78)*2.723</f>
        <v>4.535755559999999</v>
      </c>
      <c r="F13" s="28">
        <f t="shared" si="0"/>
        <v>430.232613993</v>
      </c>
      <c r="G13" s="28">
        <f t="shared" si="1"/>
        <v>434.76836955299996</v>
      </c>
    </row>
    <row r="14" spans="1:7" ht="12.75">
      <c r="A14" s="50" t="s">
        <v>10</v>
      </c>
      <c r="B14" s="28">
        <f>(F127*Nutrient!B120)*2.723</f>
        <v>2657.499182604</v>
      </c>
      <c r="C14" s="28">
        <f>(G127*Nutrient!B98)*2.723</f>
        <v>942.5116463573999</v>
      </c>
      <c r="D14" s="28">
        <f>(H127*Nutrient!B137)*2.723</f>
        <v>3195.59924542677</v>
      </c>
      <c r="E14" s="28">
        <f>(I127*Nutrient!B79)*2.723</f>
        <v>4.352165454</v>
      </c>
      <c r="F14" s="28">
        <f t="shared" si="0"/>
        <v>3595.6586635074</v>
      </c>
      <c r="G14" s="28">
        <f t="shared" si="1"/>
        <v>3600.0108289614</v>
      </c>
    </row>
    <row r="15" spans="1:8" ht="12.75">
      <c r="A15" s="52" t="s">
        <v>34</v>
      </c>
      <c r="B15" s="187">
        <f>SUM(B3:B14)</f>
        <v>18746.304728025</v>
      </c>
      <c r="C15" s="187">
        <f>SUM(C3:C14)</f>
        <v>13100.577966363302</v>
      </c>
      <c r="D15" s="187">
        <f>SUM(D3:D14)</f>
        <v>26154.67053990777</v>
      </c>
      <c r="E15" s="187">
        <f>SUM(E3:E14)</f>
        <v>603.9898499039998</v>
      </c>
      <c r="F15" s="187">
        <f>SUM(F3:F14)</f>
        <v>31242.892844484304</v>
      </c>
      <c r="G15" s="187">
        <f>SUM(B15:C15)</f>
        <v>31846.882694388303</v>
      </c>
      <c r="H15" s="10" t="s">
        <v>159</v>
      </c>
    </row>
    <row r="16" spans="2:8" ht="12.75">
      <c r="B16" s="47"/>
      <c r="C16" s="47"/>
      <c r="D16" s="47"/>
      <c r="E16" s="47"/>
      <c r="F16" s="47"/>
      <c r="G16" s="47"/>
      <c r="H16" s="10" t="s">
        <v>140</v>
      </c>
    </row>
    <row r="17" spans="2:7" ht="12.75">
      <c r="B17" s="47"/>
      <c r="C17" s="47"/>
      <c r="D17" s="47"/>
      <c r="E17" s="47"/>
      <c r="F17" s="47"/>
      <c r="G17" s="47"/>
    </row>
    <row r="18" spans="2:7" ht="12.75">
      <c r="B18" s="47"/>
      <c r="C18" s="47"/>
      <c r="D18" s="47"/>
      <c r="E18" s="47"/>
      <c r="F18" s="47"/>
      <c r="G18" s="47"/>
    </row>
    <row r="19" spans="2:7" ht="12.75">
      <c r="B19" s="47"/>
      <c r="C19" s="47"/>
      <c r="D19" s="47"/>
      <c r="E19" s="47"/>
      <c r="F19" s="47"/>
      <c r="G19" s="47"/>
    </row>
    <row r="20" spans="2:7" ht="12.75">
      <c r="B20" s="47"/>
      <c r="C20" s="47"/>
      <c r="D20" s="47"/>
      <c r="E20" s="47"/>
      <c r="F20" s="47"/>
      <c r="G20" s="47"/>
    </row>
    <row r="21" spans="2:7" ht="12.75">
      <c r="B21" s="47"/>
      <c r="C21" s="47"/>
      <c r="D21" s="47"/>
      <c r="E21" s="47"/>
      <c r="F21" s="47"/>
      <c r="G21" s="47"/>
    </row>
    <row r="22" spans="2:7" ht="12.75">
      <c r="B22" s="47"/>
      <c r="C22" s="47"/>
      <c r="D22" s="47"/>
      <c r="E22" s="47"/>
      <c r="F22" s="47"/>
      <c r="G22" s="47"/>
    </row>
    <row r="23" spans="2:7" ht="12.75">
      <c r="B23" s="47"/>
      <c r="C23" s="47"/>
      <c r="D23" s="47"/>
      <c r="E23" s="47"/>
      <c r="F23" s="47"/>
      <c r="G23" s="47"/>
    </row>
    <row r="24" spans="2:7" ht="12.75">
      <c r="B24" s="47"/>
      <c r="C24" s="47"/>
      <c r="D24" s="47"/>
      <c r="E24" s="47"/>
      <c r="F24" s="47"/>
      <c r="G24" s="47"/>
    </row>
    <row r="25" spans="2:7" ht="12.75">
      <c r="B25" s="47"/>
      <c r="C25" s="47"/>
      <c r="D25" s="47"/>
      <c r="E25" s="47"/>
      <c r="F25" s="47"/>
      <c r="G25" s="47"/>
    </row>
    <row r="26" spans="2:7" ht="12.75">
      <c r="B26" s="47"/>
      <c r="C26" s="47"/>
      <c r="D26" s="47"/>
      <c r="E26" s="47"/>
      <c r="F26" s="47"/>
      <c r="G26" s="47"/>
    </row>
    <row r="27" spans="2:7" ht="12.75">
      <c r="B27" s="47"/>
      <c r="C27" s="47"/>
      <c r="D27" s="47"/>
      <c r="E27" s="47"/>
      <c r="F27" s="47"/>
      <c r="G27" s="47"/>
    </row>
    <row r="28" spans="2:7" ht="12.75">
      <c r="B28" s="47"/>
      <c r="C28" s="47"/>
      <c r="D28" s="47"/>
      <c r="E28" s="47"/>
      <c r="F28" s="47"/>
      <c r="G28" s="47"/>
    </row>
    <row r="29" spans="2:7" ht="12.75">
      <c r="B29" s="47"/>
      <c r="C29" s="47"/>
      <c r="D29" s="47"/>
      <c r="E29" s="47"/>
      <c r="F29" s="47"/>
      <c r="G29" s="47"/>
    </row>
    <row r="30" spans="2:7" ht="12.75">
      <c r="B30" s="47"/>
      <c r="C30" s="47"/>
      <c r="D30" s="47"/>
      <c r="E30" s="47"/>
      <c r="F30" s="47"/>
      <c r="G30" s="47"/>
    </row>
    <row r="31" spans="2:7" ht="12.75">
      <c r="B31" s="47"/>
      <c r="C31" s="47"/>
      <c r="D31" s="47"/>
      <c r="E31" s="47"/>
      <c r="F31" s="47"/>
      <c r="G31" s="47"/>
    </row>
    <row r="32" spans="2:7" ht="12.75">
      <c r="B32" s="47"/>
      <c r="C32" s="47"/>
      <c r="D32" s="47"/>
      <c r="E32" s="47"/>
      <c r="F32" s="47"/>
      <c r="G32" s="47"/>
    </row>
    <row r="33" spans="2:7" ht="12.75">
      <c r="B33" s="47"/>
      <c r="C33" s="47"/>
      <c r="D33" s="47"/>
      <c r="E33" s="47"/>
      <c r="F33" s="47"/>
      <c r="G33" s="47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ht="12.75">
      <c r="J36" s="4"/>
    </row>
    <row r="37" spans="1:7" ht="15.75">
      <c r="A37" s="231" t="s">
        <v>160</v>
      </c>
      <c r="B37" s="232"/>
      <c r="C37" s="232"/>
      <c r="D37" s="232"/>
      <c r="E37" s="232"/>
      <c r="F37" s="232"/>
      <c r="G37" s="233"/>
    </row>
    <row r="38" spans="1:7" ht="12.75">
      <c r="A38" s="46" t="s">
        <v>13</v>
      </c>
      <c r="B38" s="46" t="s">
        <v>100</v>
      </c>
      <c r="C38" s="46" t="s">
        <v>84</v>
      </c>
      <c r="D38" s="49" t="s">
        <v>101</v>
      </c>
      <c r="E38" s="49" t="s">
        <v>11</v>
      </c>
      <c r="F38" s="49" t="s">
        <v>102</v>
      </c>
      <c r="G38" s="82" t="s">
        <v>115</v>
      </c>
    </row>
    <row r="39" spans="1:7" ht="12.75">
      <c r="A39" s="50" t="s">
        <v>83</v>
      </c>
      <c r="B39" s="51">
        <f>(F116*Nutrient!H109)*2.723</f>
        <v>141.947550192</v>
      </c>
      <c r="C39" s="51">
        <f>(G116*Nutrient!H87)*2.72</f>
        <v>54.676545120000014</v>
      </c>
      <c r="D39" s="51">
        <f>(H116*Nutrient!D126)*2.723</f>
        <v>178.43878361400002</v>
      </c>
      <c r="E39" s="51">
        <f>(I116*Nutrient!H68)*2.723</f>
        <v>4.233371856</v>
      </c>
      <c r="F39" s="51">
        <f aca="true" t="shared" si="2" ref="F39:F50">(B39+C39)-E39</f>
        <v>192.39072345600002</v>
      </c>
      <c r="G39" s="51">
        <f>SUM(B39:C39)</f>
        <v>196.624095312</v>
      </c>
    </row>
    <row r="40" spans="1:7" ht="12.75">
      <c r="A40" s="50" t="s">
        <v>0</v>
      </c>
      <c r="B40" s="51">
        <f>(F117*Nutrient!H110)*2.723</f>
        <v>123.97731864</v>
      </c>
      <c r="C40" s="51">
        <f>(G117*Nutrient!H88)*2.72</f>
        <v>85.78235904</v>
      </c>
      <c r="D40" s="51">
        <f>(H117*Nutrient!D127)*2.723</f>
        <v>166.915804608</v>
      </c>
      <c r="E40" s="51">
        <f>(I117*Nutrient!H69)*2.723</f>
        <v>121.55824900800002</v>
      </c>
      <c r="F40" s="51">
        <f t="shared" si="2"/>
        <v>88.20142867199996</v>
      </c>
      <c r="G40" s="51">
        <f aca="true" t="shared" si="3" ref="G40:G50">SUM(B40:C40)</f>
        <v>209.75967767999998</v>
      </c>
    </row>
    <row r="41" spans="1:7" ht="12.75">
      <c r="A41" s="50" t="s">
        <v>1</v>
      </c>
      <c r="B41" s="51">
        <f>(F118*Nutrient!H111)*2.723</f>
        <v>113.82586572</v>
      </c>
      <c r="C41" s="51">
        <f>(G118*Nutrient!H89)*2.72</f>
        <v>97.64863104000001</v>
      </c>
      <c r="D41" s="51">
        <f>(H118*Nutrient!D128)*2.723</f>
        <v>162.704031588</v>
      </c>
      <c r="E41" s="51">
        <f>(I118*Nutrient!H70)*2.723</f>
        <v>154.334482638</v>
      </c>
      <c r="F41" s="51">
        <f t="shared" si="2"/>
        <v>57.140014122000025</v>
      </c>
      <c r="G41" s="51">
        <f t="shared" si="3"/>
        <v>211.47449676000002</v>
      </c>
    </row>
    <row r="42" spans="1:7" ht="12.75">
      <c r="A42" s="50" t="s">
        <v>2</v>
      </c>
      <c r="B42" s="51">
        <f>(F119*Nutrient!H112)*2.723</f>
        <v>110.1540636</v>
      </c>
      <c r="C42" s="51">
        <f>(G119*Nutrient!H90)*2.72</f>
        <v>56.699205119999995</v>
      </c>
      <c r="D42" s="51">
        <f>(H119*Nutrient!D129)*2.723</f>
        <v>242.43613468200004</v>
      </c>
      <c r="E42" s="51">
        <f>(I119*Nutrient!H71)*2.723</f>
        <v>6.4796508</v>
      </c>
      <c r="F42" s="51">
        <f t="shared" si="2"/>
        <v>160.37361792</v>
      </c>
      <c r="G42" s="51">
        <f t="shared" si="3"/>
        <v>166.85326872</v>
      </c>
    </row>
    <row r="43" spans="1:7" ht="12.75">
      <c r="A43" s="50" t="s">
        <v>3</v>
      </c>
      <c r="B43" s="51">
        <f>(F120*Nutrient!H113)*2.723</f>
        <v>108.469354392</v>
      </c>
      <c r="C43" s="51">
        <f>(G120*Nutrient!H91)*2.72</f>
        <v>68.13667320000002</v>
      </c>
      <c r="D43" s="51">
        <f>(H120*Nutrient!D130)*2.723</f>
        <v>169.69260496125003</v>
      </c>
      <c r="E43" s="51">
        <f>(I120*Nutrient!H72)*2.723</f>
        <v>7.699985034</v>
      </c>
      <c r="F43" s="51">
        <f t="shared" si="2"/>
        <v>168.90604255800002</v>
      </c>
      <c r="G43" s="51">
        <f t="shared" si="3"/>
        <v>176.60602759200003</v>
      </c>
    </row>
    <row r="44" spans="1:7" ht="12.75">
      <c r="A44" s="50" t="s">
        <v>4</v>
      </c>
      <c r="B44" s="51">
        <f>(F121*Nutrient!H114)*2.723</f>
        <v>161.66728745999998</v>
      </c>
      <c r="C44" s="51">
        <f>(G121*Nutrient!H92)*2.72</f>
        <v>54.61182</v>
      </c>
      <c r="D44" s="51">
        <f>(H121*Nutrient!D131)*2.723</f>
        <v>243.34328579400002</v>
      </c>
      <c r="E44" s="51">
        <f>(I121*Nutrient!H73)*2.723</f>
        <v>6.4796508</v>
      </c>
      <c r="F44" s="51">
        <f t="shared" si="2"/>
        <v>209.79945665999998</v>
      </c>
      <c r="G44" s="51">
        <f t="shared" si="3"/>
        <v>216.27910745999998</v>
      </c>
    </row>
    <row r="45" spans="1:7" ht="12.75">
      <c r="A45" s="50" t="s">
        <v>5</v>
      </c>
      <c r="B45" s="51">
        <f>(F122*Nutrient!H115)*2.723</f>
        <v>235.016934516</v>
      </c>
      <c r="C45" s="51">
        <f>(G122*Nutrient!H93)*2.72</f>
        <v>15.851181888000003</v>
      </c>
      <c r="D45" s="51">
        <f>(H122*Nutrient!D132)*2.723</f>
        <v>175.25500719342</v>
      </c>
      <c r="E45" s="51">
        <f>(I122*Nutrient!H74)*2.723</f>
        <v>15.902143005000001</v>
      </c>
      <c r="F45" s="51">
        <f t="shared" si="2"/>
        <v>234.965973399</v>
      </c>
      <c r="G45" s="51">
        <f t="shared" si="3"/>
        <v>250.868116404</v>
      </c>
    </row>
    <row r="46" spans="1:7" ht="12.75">
      <c r="A46" s="50" t="s">
        <v>6</v>
      </c>
      <c r="B46" s="51">
        <f>(F123*Nutrient!H116)*2.723</f>
        <v>143.119287045</v>
      </c>
      <c r="C46" s="51">
        <f>(G123*Nutrient!H94)*2.72</f>
        <v>0</v>
      </c>
      <c r="D46" s="51">
        <f>(H123*Nutrient!D133)*2.723</f>
        <v>137.3945155632</v>
      </c>
      <c r="E46" s="51">
        <f>(I123*Nutrient!H75)*2.723</f>
        <v>5.6912932860000005</v>
      </c>
      <c r="F46" s="51">
        <f t="shared" si="2"/>
        <v>137.427993759</v>
      </c>
      <c r="G46" s="51">
        <f t="shared" si="3"/>
        <v>143.119287045</v>
      </c>
    </row>
    <row r="47" spans="1:7" ht="12.75">
      <c r="A47" s="50" t="s">
        <v>7</v>
      </c>
      <c r="B47" s="51">
        <f>(F124*Nutrient!H117)*2.723</f>
        <v>210.588651</v>
      </c>
      <c r="C47" s="51">
        <f>(G124*Nutrient!H95)*2.72</f>
        <v>0</v>
      </c>
      <c r="D47" s="51">
        <f>(H124*Nutrient!D134)*2.723</f>
        <v>112.8722771106</v>
      </c>
      <c r="E47" s="51">
        <f>(I124*Nutrient!H76)*2.723</f>
        <v>5.02172937</v>
      </c>
      <c r="F47" s="51">
        <f t="shared" si="2"/>
        <v>205.56692163</v>
      </c>
      <c r="G47" s="51">
        <f t="shared" si="3"/>
        <v>210.588651</v>
      </c>
    </row>
    <row r="48" spans="1:7" ht="12.75">
      <c r="A48" s="50" t="s">
        <v>8</v>
      </c>
      <c r="B48" s="51">
        <f>(F125*Nutrient!H118)*2.723</f>
        <v>108.80413635</v>
      </c>
      <c r="C48" s="51">
        <f>(G125*Nutrient!H96)*2.72</f>
        <v>0</v>
      </c>
      <c r="D48" s="51">
        <f>(H125*Nutrient!D135)*2.723</f>
        <v>111.4489138182</v>
      </c>
      <c r="E48" s="51">
        <f>(I125*Nutrient!H77)*2.723</f>
        <v>4.352165454</v>
      </c>
      <c r="F48" s="51">
        <f t="shared" si="2"/>
        <v>104.45197089599999</v>
      </c>
      <c r="G48" s="51">
        <f t="shared" si="3"/>
        <v>108.80413635</v>
      </c>
    </row>
    <row r="49" spans="1:7" ht="12.75">
      <c r="A49" s="50" t="s">
        <v>9</v>
      </c>
      <c r="B49" s="51">
        <f>(F126*Nutrient!H119)*2.723</f>
        <v>103.02644772000001</v>
      </c>
      <c r="C49" s="51">
        <f>(G126*Nutrient!H97)*2.72</f>
        <v>13.543731360000002</v>
      </c>
      <c r="D49" s="51">
        <f>(H126*Nutrient!D136)*2.723</f>
        <v>77.723411346</v>
      </c>
      <c r="E49" s="51">
        <f>(I126*Nutrient!H78)*2.723</f>
        <v>4.535755559999999</v>
      </c>
      <c r="F49" s="51">
        <f t="shared" si="2"/>
        <v>112.03442352</v>
      </c>
      <c r="G49" s="51">
        <f t="shared" si="3"/>
        <v>116.57017908</v>
      </c>
    </row>
    <row r="50" spans="1:7" ht="12.75">
      <c r="A50" s="50" t="s">
        <v>10</v>
      </c>
      <c r="B50" s="51">
        <f>(F127*Nutrient!H120)*2.723</f>
        <v>94.91068509299998</v>
      </c>
      <c r="C50" s="51">
        <f>(G127*Nutrient!H98)*2.72</f>
        <v>20.031345888</v>
      </c>
      <c r="D50" s="51">
        <f>(H127*Nutrient!D137)*2.723</f>
        <v>83.3272293462</v>
      </c>
      <c r="E50" s="51">
        <f>(I127*Nutrient!H79)*2.723</f>
        <v>4.352165454</v>
      </c>
      <c r="F50" s="51">
        <f t="shared" si="2"/>
        <v>110.58986552699999</v>
      </c>
      <c r="G50" s="51">
        <f t="shared" si="3"/>
        <v>114.94203098099999</v>
      </c>
    </row>
    <row r="51" spans="1:7" ht="12.75">
      <c r="A51" s="49" t="s">
        <v>34</v>
      </c>
      <c r="B51" s="53">
        <f>SUM(B39:B50)</f>
        <v>1655.507581728</v>
      </c>
      <c r="C51" s="53">
        <f>SUM(C39:C50)</f>
        <v>466.981492656</v>
      </c>
      <c r="D51" s="53">
        <f>SUM(D39:D50)</f>
        <v>1861.55199962487</v>
      </c>
      <c r="E51" s="53">
        <f>SUM(E39:E50)</f>
        <v>340.64064226500005</v>
      </c>
      <c r="F51" s="53">
        <f>SUM(F39:F50)</f>
        <v>1781.8484321189999</v>
      </c>
      <c r="G51" s="53">
        <f>SUM(B51:C51)</f>
        <v>2122.489074384</v>
      </c>
    </row>
    <row r="52" spans="2:7" ht="12.75">
      <c r="B52" s="47"/>
      <c r="C52" s="47"/>
      <c r="D52" s="47"/>
      <c r="E52" s="47"/>
      <c r="F52" s="47"/>
      <c r="G52" s="47"/>
    </row>
    <row r="53" spans="2:7" ht="12.75">
      <c r="B53" s="47"/>
      <c r="C53" s="47"/>
      <c r="D53" s="47"/>
      <c r="E53" s="47"/>
      <c r="F53" s="47"/>
      <c r="G53" s="47"/>
    </row>
    <row r="54" spans="2:7" ht="12.75">
      <c r="B54" s="47"/>
      <c r="C54" s="47"/>
      <c r="D54" s="47"/>
      <c r="E54" s="47"/>
      <c r="F54" s="47"/>
      <c r="G54" s="47"/>
    </row>
    <row r="55" spans="2:7" ht="12.75">
      <c r="B55" s="47"/>
      <c r="C55" s="47"/>
      <c r="D55" s="47"/>
      <c r="E55" s="47"/>
      <c r="F55" s="47"/>
      <c r="G55" s="47"/>
    </row>
    <row r="56" spans="2:7" ht="12.75">
      <c r="B56" s="47"/>
      <c r="C56" s="47"/>
      <c r="D56" s="47"/>
      <c r="E56" s="47"/>
      <c r="F56" s="47"/>
      <c r="G56" s="47"/>
    </row>
    <row r="57" spans="2:7" ht="12.75">
      <c r="B57" s="47"/>
      <c r="C57" s="47"/>
      <c r="D57" s="47"/>
      <c r="E57" s="47"/>
      <c r="F57" s="47"/>
      <c r="G57" s="47"/>
    </row>
    <row r="58" spans="2:7" ht="12.75">
      <c r="B58" s="47"/>
      <c r="C58" s="47"/>
      <c r="D58" s="47"/>
      <c r="E58" s="47"/>
      <c r="F58" s="47"/>
      <c r="G58" s="47"/>
    </row>
    <row r="59" spans="2:7" ht="12.75">
      <c r="B59" s="47"/>
      <c r="C59" s="47"/>
      <c r="D59" s="47"/>
      <c r="E59" s="47"/>
      <c r="F59" s="47"/>
      <c r="G59" s="47"/>
    </row>
    <row r="60" spans="2:7" ht="12" customHeight="1">
      <c r="B60" s="47"/>
      <c r="C60" s="47"/>
      <c r="D60" s="47"/>
      <c r="E60" s="47"/>
      <c r="F60" s="47"/>
      <c r="G60" s="47"/>
    </row>
    <row r="61" spans="2:7" ht="12.75">
      <c r="B61" s="47"/>
      <c r="C61" s="47"/>
      <c r="D61" s="47"/>
      <c r="E61" s="47"/>
      <c r="F61" s="47"/>
      <c r="G61" s="47"/>
    </row>
    <row r="62" spans="2:7" ht="12.75">
      <c r="B62" s="47"/>
      <c r="C62" s="47"/>
      <c r="D62" s="47"/>
      <c r="E62" s="47"/>
      <c r="F62" s="47"/>
      <c r="G62" s="47"/>
    </row>
    <row r="63" spans="2:7" ht="12.75">
      <c r="B63" s="47"/>
      <c r="C63" s="47"/>
      <c r="D63" s="47"/>
      <c r="E63" s="47"/>
      <c r="F63" s="47"/>
      <c r="G63" s="47"/>
    </row>
    <row r="64" spans="2:7" ht="12.75">
      <c r="B64" s="47"/>
      <c r="C64" s="47"/>
      <c r="D64" s="47"/>
      <c r="E64" s="47"/>
      <c r="F64" s="47"/>
      <c r="G64" s="47"/>
    </row>
    <row r="65" spans="2:7" ht="12.75">
      <c r="B65" s="47"/>
      <c r="C65" s="47"/>
      <c r="D65" s="47"/>
      <c r="E65" s="47"/>
      <c r="F65" s="47"/>
      <c r="G65" s="47"/>
    </row>
    <row r="66" spans="2:7" ht="12.75">
      <c r="B66" s="47"/>
      <c r="C66" s="47"/>
      <c r="D66" s="47"/>
      <c r="E66" s="47"/>
      <c r="F66" s="47"/>
      <c r="G66" s="47"/>
    </row>
    <row r="67" spans="2:7" ht="12.75">
      <c r="B67" s="47"/>
      <c r="C67" s="47"/>
      <c r="D67" s="47"/>
      <c r="E67" s="47"/>
      <c r="F67" s="47"/>
      <c r="G67" s="47"/>
    </row>
    <row r="68" spans="2:7" ht="12.75">
      <c r="B68" s="47"/>
      <c r="C68" s="47"/>
      <c r="D68" s="47"/>
      <c r="E68" s="47"/>
      <c r="F68" s="47"/>
      <c r="G68" s="47"/>
    </row>
    <row r="69" spans="2:7" ht="12.75">
      <c r="B69" s="47"/>
      <c r="C69" s="47"/>
      <c r="D69" s="47"/>
      <c r="E69" s="47"/>
      <c r="F69" s="47"/>
      <c r="G69" s="47"/>
    </row>
    <row r="70" spans="2:7" ht="12" customHeight="1">
      <c r="B70" s="47"/>
      <c r="C70" s="47"/>
      <c r="D70" s="47"/>
      <c r="E70" s="47"/>
      <c r="F70" s="47"/>
      <c r="G70" s="47"/>
    </row>
    <row r="71" spans="2:7" ht="12" customHeight="1">
      <c r="B71" s="47"/>
      <c r="C71" s="47"/>
      <c r="D71" s="47"/>
      <c r="E71" s="47"/>
      <c r="F71" s="47"/>
      <c r="G71" s="47"/>
    </row>
    <row r="72" spans="2:7" ht="12.75">
      <c r="B72" s="47"/>
      <c r="C72" s="47"/>
      <c r="D72" s="47"/>
      <c r="E72" s="47"/>
      <c r="F72" s="47"/>
      <c r="G72" s="47"/>
    </row>
    <row r="73" spans="2:7" ht="12.75">
      <c r="B73" s="47"/>
      <c r="C73" s="47"/>
      <c r="D73" s="47"/>
      <c r="E73" s="47"/>
      <c r="F73" s="47"/>
      <c r="G73" s="47"/>
    </row>
    <row r="74" spans="1:7" ht="12.75">
      <c r="A74" s="214" t="s">
        <v>116</v>
      </c>
      <c r="B74" s="214" t="s">
        <v>100</v>
      </c>
      <c r="C74" s="214" t="s">
        <v>84</v>
      </c>
      <c r="D74" s="214" t="s">
        <v>101</v>
      </c>
      <c r="E74" s="214" t="s">
        <v>11</v>
      </c>
      <c r="F74" s="214" t="s">
        <v>102</v>
      </c>
      <c r="G74" s="215" t="s">
        <v>141</v>
      </c>
    </row>
    <row r="75" spans="1:7" ht="12.75">
      <c r="A75" s="214"/>
      <c r="B75" s="216" t="s">
        <v>165</v>
      </c>
      <c r="C75" s="216" t="s">
        <v>165</v>
      </c>
      <c r="D75" s="216" t="s">
        <v>165</v>
      </c>
      <c r="E75" s="216" t="s">
        <v>165</v>
      </c>
      <c r="F75" s="216" t="s">
        <v>165</v>
      </c>
      <c r="G75" s="215" t="s">
        <v>115</v>
      </c>
    </row>
    <row r="76" spans="1:7" ht="12.75">
      <c r="A76" s="214" t="s">
        <v>83</v>
      </c>
      <c r="B76" s="28">
        <f>(F116*Nutrient!I109)*2.72</f>
        <v>35447.790720000005</v>
      </c>
      <c r="C76" s="28">
        <f>(G116*Nutrient!I87)*2.72</f>
        <v>10935.309024000002</v>
      </c>
      <c r="D76" s="28">
        <f>(H116*Nutrient!E126)*2.723</f>
        <v>44609.6959035</v>
      </c>
      <c r="E76" s="28">
        <f>(I116*Nutrient!I68)*2.723</f>
        <v>1058.342964</v>
      </c>
      <c r="F76" s="28">
        <f aca="true" t="shared" si="4" ref="F76:F87">(B76+C76)-E76</f>
        <v>45324.75678</v>
      </c>
      <c r="G76" s="190">
        <f>SUM(B76:C76)</f>
        <v>46383.09974400001</v>
      </c>
    </row>
    <row r="77" spans="1:7" ht="12.75">
      <c r="A77" s="214" t="s">
        <v>0</v>
      </c>
      <c r="B77" s="28">
        <f>(F117*Nutrient!I110)*2.72</f>
        <v>30960.1824</v>
      </c>
      <c r="C77" s="28">
        <f>(G117*Nutrient!I88)*2.72</f>
        <v>25734.707712000003</v>
      </c>
      <c r="D77" s="28">
        <f>(H117*Nutrient!E127)*2.723</f>
        <v>41728.951151999994</v>
      </c>
      <c r="E77" s="28">
        <f>(I117*Nutrient!I69)*2.723</f>
        <v>30389.562252000003</v>
      </c>
      <c r="F77" s="28">
        <f t="shared" si="4"/>
        <v>26305.327860000005</v>
      </c>
      <c r="G77" s="190">
        <f aca="true" t="shared" si="5" ref="G77:G87">SUM(B77:C77)</f>
        <v>56694.89011200001</v>
      </c>
    </row>
    <row r="78" spans="1:7" ht="12.75">
      <c r="A78" s="214" t="s">
        <v>1</v>
      </c>
      <c r="B78" s="28">
        <f>(F118*Nutrient!I111)*2.72</f>
        <v>28425.1152</v>
      </c>
      <c r="C78" s="28">
        <f>(G118*Nutrient!I89)*2.72</f>
        <v>12206.078880000003</v>
      </c>
      <c r="D78" s="28">
        <f>(H118*Nutrient!E128)*2.723</f>
        <v>91927.77784722</v>
      </c>
      <c r="E78" s="28">
        <f>(I118*Nutrient!I70)*2.723</f>
        <v>92600.68958280001</v>
      </c>
      <c r="F78" s="28">
        <f t="shared" si="4"/>
        <v>-51969.49550280001</v>
      </c>
      <c r="G78" s="190">
        <f t="shared" si="5"/>
        <v>40631.19408</v>
      </c>
    </row>
    <row r="79" spans="1:7" ht="12.75">
      <c r="A79" s="214" t="s">
        <v>2</v>
      </c>
      <c r="B79" s="28">
        <f>(F119*Nutrient!I112)*2.72</f>
        <v>27508.176000000007</v>
      </c>
      <c r="C79" s="28">
        <f>(G119*Nutrient!I90)*2.72</f>
        <v>11339.841024</v>
      </c>
      <c r="D79" s="28">
        <f>(H119*Nutrient!E129)*2.723</f>
        <v>48487.22693640001</v>
      </c>
      <c r="E79" s="28">
        <f>(I119*Nutrient!I71)*2.723</f>
        <v>1619.9126999999999</v>
      </c>
      <c r="F79" s="28">
        <f t="shared" si="4"/>
        <v>37228.10432400001</v>
      </c>
      <c r="G79" s="190">
        <f t="shared" si="5"/>
        <v>38848.01702400001</v>
      </c>
    </row>
    <row r="80" spans="1:7" ht="12.75">
      <c r="A80" s="214" t="s">
        <v>3</v>
      </c>
      <c r="B80" s="28">
        <f>(F120*Nutrient!I113)*2.72</f>
        <v>43339.940352000005</v>
      </c>
      <c r="C80" s="28">
        <f>(G120*Nutrient!I91)*2.72</f>
        <v>32705.60313600001</v>
      </c>
      <c r="D80" s="28">
        <f>(H120*Nutrient!E130)*2.723</f>
        <v>88240.15457985</v>
      </c>
      <c r="E80" s="28">
        <f>(I120*Nutrient!I72)*2.723</f>
        <v>1924.9962584999998</v>
      </c>
      <c r="F80" s="28">
        <f t="shared" si="4"/>
        <v>74120.5472295</v>
      </c>
      <c r="G80" s="190">
        <f t="shared" si="5"/>
        <v>76045.54348800001</v>
      </c>
    </row>
    <row r="81" spans="1:7" ht="12.75">
      <c r="A81" s="214" t="s">
        <v>4</v>
      </c>
      <c r="B81" s="28">
        <f>(F121*Nutrient!I114)*2.72</f>
        <v>40372.2936</v>
      </c>
      <c r="C81" s="28">
        <f>(G121*Nutrient!I92)*2.72</f>
        <v>12135.960000000001</v>
      </c>
      <c r="D81" s="28">
        <f>(H121*Nutrient!E131)*2.723</f>
        <v>43454.1581775</v>
      </c>
      <c r="E81" s="28">
        <f>(I121*Nutrient!I73)*2.723</f>
        <v>1619.9126999999999</v>
      </c>
      <c r="F81" s="28">
        <f t="shared" si="4"/>
        <v>50888.340899999996</v>
      </c>
      <c r="G81" s="190">
        <f t="shared" si="5"/>
        <v>52508.2536</v>
      </c>
    </row>
    <row r="82" spans="1:7" ht="12.75">
      <c r="A82" s="214" t="s">
        <v>5</v>
      </c>
      <c r="B82" s="28">
        <f>(F122*Nutrient!I115)*2.72</f>
        <v>93903.204096</v>
      </c>
      <c r="C82" s="28">
        <f>(G122*Nutrient!I93)*2.72</f>
        <v>7133.031849600002</v>
      </c>
      <c r="D82" s="28">
        <f>(H122*Nutrient!E132)*2.723</f>
        <v>47796.82014366</v>
      </c>
      <c r="E82" s="28">
        <f>(I122*Nutrient!I74)*2.723</f>
        <v>3816.5143212</v>
      </c>
      <c r="F82" s="28">
        <f t="shared" si="4"/>
        <v>97219.7216244</v>
      </c>
      <c r="G82" s="190">
        <f t="shared" si="5"/>
        <v>101036.2359456</v>
      </c>
    </row>
    <row r="83" spans="1:7" ht="12.75">
      <c r="A83" s="214" t="s">
        <v>6</v>
      </c>
      <c r="B83" s="28">
        <f>(F123*Nutrient!I116)*2.72</f>
        <v>28592.321760000003</v>
      </c>
      <c r="C83" s="28">
        <f>(G123*Nutrient!I94)*2.72</f>
        <v>0</v>
      </c>
      <c r="D83" s="28">
        <f>(H123*Nutrient!E133)*2.723</f>
        <v>28623.857408999997</v>
      </c>
      <c r="E83" s="28">
        <f>(I123*Nutrient!I75)*2.723</f>
        <v>1707.3879858</v>
      </c>
      <c r="F83" s="28">
        <f t="shared" si="4"/>
        <v>26884.933774200003</v>
      </c>
      <c r="G83" s="190">
        <f t="shared" si="5"/>
        <v>28592.321760000003</v>
      </c>
    </row>
    <row r="84" spans="1:7" ht="12.75">
      <c r="A84" s="214" t="s">
        <v>7</v>
      </c>
      <c r="B84" s="28">
        <f>(F124*Nutrient!I117)*2.72</f>
        <v>36812.412000000004</v>
      </c>
      <c r="C84" s="28">
        <f>(G124*Nutrient!I95)*2.72</f>
        <v>0</v>
      </c>
      <c r="D84" s="28">
        <f>(H124*Nutrient!E134)*2.723</f>
        <v>26874.351692999997</v>
      </c>
      <c r="E84" s="28">
        <f>(I124*Nutrient!I76)*2.723</f>
        <v>1506.5188110000001</v>
      </c>
      <c r="F84" s="28">
        <f t="shared" si="4"/>
        <v>35305.893189</v>
      </c>
      <c r="G84" s="190">
        <f t="shared" si="5"/>
        <v>36812.412000000004</v>
      </c>
    </row>
    <row r="85" spans="1:7" ht="12.75">
      <c r="A85" s="214" t="s">
        <v>8</v>
      </c>
      <c r="B85" s="28">
        <f>(F125*Nutrient!I118)*2.72</f>
        <v>27171.066000000006</v>
      </c>
      <c r="C85" s="28">
        <f>(G125*Nutrient!I96)*2.72</f>
        <v>0</v>
      </c>
      <c r="D85" s="28">
        <f>(H125*Nutrient!E135)*2.723</f>
        <v>33434.674145460005</v>
      </c>
      <c r="E85" s="28">
        <f>(I125*Nutrient!I77)*2.723</f>
        <v>1523.2579089</v>
      </c>
      <c r="F85" s="28">
        <f t="shared" si="4"/>
        <v>25647.808091100007</v>
      </c>
      <c r="G85" s="190">
        <f t="shared" si="5"/>
        <v>27171.066000000006</v>
      </c>
    </row>
    <row r="86" spans="1:7" ht="12.75">
      <c r="A86" s="214" t="s">
        <v>9</v>
      </c>
      <c r="B86" s="28">
        <f>(F126*Nutrient!I119)*2.72</f>
        <v>20582.588160000003</v>
      </c>
      <c r="C86" s="28">
        <f>(G126*Nutrient!I97)*2.72</f>
        <v>2257.2885600000004</v>
      </c>
      <c r="D86" s="28">
        <f>(H126*Nutrient!E136)*2.723</f>
        <v>23317.0234038</v>
      </c>
      <c r="E86" s="28">
        <f>(I126*Nutrient!I78)*2.723</f>
        <v>1814.3022239999996</v>
      </c>
      <c r="F86" s="28">
        <f t="shared" si="4"/>
        <v>21025.574496000005</v>
      </c>
      <c r="G86" s="190">
        <f t="shared" si="5"/>
        <v>22839.876720000004</v>
      </c>
    </row>
    <row r="87" spans="1:7" ht="12.75">
      <c r="A87" s="214" t="s">
        <v>10</v>
      </c>
      <c r="B87" s="28">
        <f>(F127*Nutrient!I120)*2.72</f>
        <v>18961.223904000002</v>
      </c>
      <c r="C87" s="28">
        <f>(G127*Nutrient!I98)*2.72</f>
        <v>5007.836472</v>
      </c>
      <c r="D87" s="28">
        <f>(H127*Nutrient!E137)*2.723</f>
        <v>20831.80733655</v>
      </c>
      <c r="E87" s="28">
        <f>(I127*Nutrient!I79)*2.723</f>
        <v>1088.0413635</v>
      </c>
      <c r="F87" s="28">
        <f t="shared" si="4"/>
        <v>22881.0190125</v>
      </c>
      <c r="G87" s="190">
        <f t="shared" si="5"/>
        <v>23969.060376</v>
      </c>
    </row>
    <row r="88" spans="1:7" ht="12.75">
      <c r="A88" s="211" t="s">
        <v>141</v>
      </c>
      <c r="B88" s="217">
        <f>SUM(B76:B87)</f>
        <v>432076.3141920001</v>
      </c>
      <c r="C88" s="217">
        <f>SUM(C76:C87)</f>
        <v>119455.65665760002</v>
      </c>
      <c r="D88" s="217">
        <f>SUM(D76:D87)</f>
        <v>539326.49872794</v>
      </c>
      <c r="E88" s="217">
        <f>SUM(E76:E87)</f>
        <v>140669.43907170004</v>
      </c>
      <c r="F88" s="217">
        <f>SUM(F76:F87)</f>
        <v>410862.53177790006</v>
      </c>
      <c r="G88" s="218">
        <f>SUM(B88:C88)</f>
        <v>551531.9708496002</v>
      </c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3:7" ht="12.75">
      <c r="C96" s="4"/>
      <c r="E96" s="4"/>
      <c r="G96" s="4"/>
    </row>
    <row r="97" spans="2:7" ht="12.75">
      <c r="B97" s="4"/>
      <c r="C97" s="4"/>
      <c r="D97" s="4"/>
      <c r="E97" s="4"/>
      <c r="F97" s="4"/>
      <c r="G97" s="4"/>
    </row>
    <row r="98" spans="3:7" ht="12.75">
      <c r="C98" s="4"/>
      <c r="E98" s="4"/>
      <c r="F98" s="13"/>
      <c r="G98" s="4"/>
    </row>
    <row r="99" spans="2:3" ht="12.75">
      <c r="B99" s="14"/>
      <c r="C99" s="14"/>
    </row>
    <row r="100" spans="1:10" ht="12.75">
      <c r="A100" s="8"/>
      <c r="B100" s="8"/>
      <c r="C100" s="8"/>
      <c r="D100" s="8"/>
      <c r="E100" s="8"/>
      <c r="F100" s="9"/>
      <c r="G100" s="9"/>
      <c r="J100"/>
    </row>
    <row r="101" ht="12.75">
      <c r="J101"/>
    </row>
    <row r="102" ht="12.75">
      <c r="J102"/>
    </row>
    <row r="103" spans="2:10" ht="12.75">
      <c r="B103" s="25"/>
      <c r="C103" s="25"/>
      <c r="D103" s="25"/>
      <c r="J103"/>
    </row>
    <row r="104" spans="2:10" ht="12.75">
      <c r="B104" s="25"/>
      <c r="C104" s="25"/>
      <c r="D104" s="25"/>
      <c r="E104" s="2"/>
      <c r="F104" s="2"/>
      <c r="G104" s="2"/>
      <c r="J104"/>
    </row>
    <row r="105" spans="2:10" ht="12.75">
      <c r="B105" s="25"/>
      <c r="C105" s="25"/>
      <c r="D105" s="25"/>
      <c r="E105" s="2"/>
      <c r="F105" s="2"/>
      <c r="G105" s="2"/>
      <c r="J105"/>
    </row>
    <row r="106" spans="2:10" ht="12.75">
      <c r="B106" s="25"/>
      <c r="C106" s="25"/>
      <c r="D106" s="25"/>
      <c r="E106" s="4"/>
      <c r="F106" s="4"/>
      <c r="G106" s="4"/>
      <c r="J106"/>
    </row>
    <row r="107" spans="2:10" ht="12.75">
      <c r="B107" s="25"/>
      <c r="C107" s="25"/>
      <c r="D107" s="25"/>
      <c r="E107" s="4"/>
      <c r="F107" s="4"/>
      <c r="G107" s="4"/>
      <c r="J107"/>
    </row>
    <row r="108" spans="2:10" ht="12.75">
      <c r="B108" s="25"/>
      <c r="C108" s="25"/>
      <c r="D108" s="25"/>
      <c r="E108" s="4"/>
      <c r="F108" s="4"/>
      <c r="G108" s="4"/>
      <c r="J108"/>
    </row>
    <row r="109" spans="2:10" ht="12.75">
      <c r="B109" s="25"/>
      <c r="C109" s="25"/>
      <c r="D109" s="25"/>
      <c r="E109" s="4"/>
      <c r="F109" s="4"/>
      <c r="G109" s="4"/>
      <c r="J109"/>
    </row>
    <row r="110" spans="2:10" ht="12.75">
      <c r="B110" s="25"/>
      <c r="C110" s="25"/>
      <c r="D110" s="25"/>
      <c r="E110" s="4"/>
      <c r="F110" s="4"/>
      <c r="G110" s="4"/>
      <c r="J110"/>
    </row>
    <row r="111" spans="2:10" ht="12.75">
      <c r="B111" s="25"/>
      <c r="C111" s="25"/>
      <c r="D111" s="25"/>
      <c r="E111" s="234" t="s">
        <v>158</v>
      </c>
      <c r="F111" s="234"/>
      <c r="G111" s="234"/>
      <c r="H111" s="234"/>
      <c r="I111" s="234"/>
      <c r="J111" s="234"/>
    </row>
    <row r="112" spans="2:10" ht="12.75">
      <c r="B112" s="25"/>
      <c r="C112" s="25"/>
      <c r="D112" s="25"/>
      <c r="E112" s="4"/>
      <c r="F112" s="4"/>
      <c r="G112" s="4"/>
      <c r="J112"/>
    </row>
    <row r="113" spans="2:10" ht="12.75" customHeight="1">
      <c r="B113" s="25"/>
      <c r="C113" s="25"/>
      <c r="D113" s="25"/>
      <c r="E113" s="235">
        <v>2002</v>
      </c>
      <c r="F113" s="238" t="s">
        <v>92</v>
      </c>
      <c r="G113" s="238" t="s">
        <v>93</v>
      </c>
      <c r="H113" s="238" t="s">
        <v>94</v>
      </c>
      <c r="I113" s="240" t="s">
        <v>96</v>
      </c>
      <c r="J113" s="219" t="s">
        <v>97</v>
      </c>
    </row>
    <row r="114" spans="2:10" ht="12.75" customHeight="1">
      <c r="B114" s="25"/>
      <c r="C114" s="25"/>
      <c r="D114" s="25"/>
      <c r="E114" s="236"/>
      <c r="F114" s="239"/>
      <c r="G114" s="239"/>
      <c r="H114" s="239"/>
      <c r="I114" s="241"/>
      <c r="J114" s="242"/>
    </row>
    <row r="115" spans="2:10" ht="12.75">
      <c r="B115" s="9"/>
      <c r="C115" s="9"/>
      <c r="D115" s="9"/>
      <c r="E115" s="237"/>
      <c r="F115" s="243" t="s">
        <v>91</v>
      </c>
      <c r="G115" s="244"/>
      <c r="H115" s="244"/>
      <c r="I115" s="244"/>
      <c r="J115" s="245"/>
    </row>
    <row r="116" spans="2:10" ht="12.75">
      <c r="B116" s="25"/>
      <c r="C116" s="25"/>
      <c r="D116" s="25"/>
      <c r="E116" s="214" t="s">
        <v>83</v>
      </c>
      <c r="F116" s="27">
        <v>2606.4552</v>
      </c>
      <c r="G116" s="27">
        <v>670.0557000000001</v>
      </c>
      <c r="H116" s="27">
        <f>F116+G116</f>
        <v>3276.5109</v>
      </c>
      <c r="I116" s="28">
        <v>77.7336</v>
      </c>
      <c r="J116" s="30">
        <v>2590.1946</v>
      </c>
    </row>
    <row r="117" spans="2:10" ht="12.75">
      <c r="B117" s="25"/>
      <c r="C117" s="25"/>
      <c r="D117" s="25"/>
      <c r="E117" s="214" t="s">
        <v>0</v>
      </c>
      <c r="F117" s="27">
        <v>2276.484</v>
      </c>
      <c r="G117" s="27">
        <v>788.4408</v>
      </c>
      <c r="H117" s="27">
        <f aca="true" t="shared" si="6" ref="H117:H128">F117+G117</f>
        <v>3064.9248</v>
      </c>
      <c r="I117" s="28">
        <v>2232.0648000000006</v>
      </c>
      <c r="J117" s="30">
        <v>988.3271999999993</v>
      </c>
    </row>
    <row r="118" spans="2:10" ht="12.75">
      <c r="B118" s="25"/>
      <c r="C118" s="25"/>
      <c r="D118" s="25"/>
      <c r="E118" s="214" t="s">
        <v>1</v>
      </c>
      <c r="F118" s="27">
        <v>2090.082</v>
      </c>
      <c r="G118" s="27">
        <v>897.5058</v>
      </c>
      <c r="H118" s="27">
        <f t="shared" si="6"/>
        <v>2987.5878</v>
      </c>
      <c r="I118" s="28">
        <v>2833.9053000000004</v>
      </c>
      <c r="J118" s="30">
        <v>178.27169999999933</v>
      </c>
    </row>
    <row r="119" spans="2:10" ht="12.75">
      <c r="B119" s="25"/>
      <c r="C119" s="25"/>
      <c r="D119" s="25"/>
      <c r="E119" s="214" t="s">
        <v>2</v>
      </c>
      <c r="F119" s="27">
        <v>2022.66</v>
      </c>
      <c r="G119" s="27">
        <v>521.1324</v>
      </c>
      <c r="H119" s="27">
        <f t="shared" si="6"/>
        <v>2543.7924000000003</v>
      </c>
      <c r="I119" s="28">
        <v>118.98</v>
      </c>
      <c r="J119" s="30">
        <v>2558.07</v>
      </c>
    </row>
    <row r="120" spans="2:10" ht="12.75">
      <c r="B120" s="25"/>
      <c r="C120" s="25"/>
      <c r="D120" s="25"/>
      <c r="E120" s="214" t="s">
        <v>3</v>
      </c>
      <c r="F120" s="27">
        <v>1991.7252</v>
      </c>
      <c r="G120" s="27">
        <v>501.00495000000006</v>
      </c>
      <c r="H120" s="27">
        <f t="shared" si="6"/>
        <v>2492.7301500000003</v>
      </c>
      <c r="I120" s="28">
        <v>141.3879</v>
      </c>
      <c r="J120" s="30">
        <v>2157.7023</v>
      </c>
    </row>
    <row r="121" spans="2:10" ht="12.75">
      <c r="B121" s="25"/>
      <c r="C121" s="25"/>
      <c r="D121" s="25"/>
      <c r="E121" s="214" t="s">
        <v>4</v>
      </c>
      <c r="F121" s="27">
        <v>2968.551</v>
      </c>
      <c r="G121" s="27">
        <v>223.0875</v>
      </c>
      <c r="H121" s="27">
        <f t="shared" si="6"/>
        <v>3191.6385</v>
      </c>
      <c r="I121" s="28">
        <v>118.98</v>
      </c>
      <c r="J121" s="30">
        <v>3028.0409999999997</v>
      </c>
    </row>
    <row r="122" spans="2:10" ht="12.75">
      <c r="B122" s="25"/>
      <c r="C122" s="25"/>
      <c r="D122" s="25"/>
      <c r="E122" s="214" t="s">
        <v>5</v>
      </c>
      <c r="F122" s="27">
        <v>2876.9364</v>
      </c>
      <c r="G122" s="27">
        <v>48.56367000000001</v>
      </c>
      <c r="H122" s="27">
        <f t="shared" si="6"/>
        <v>2925.50007</v>
      </c>
      <c r="I122" s="28">
        <v>116.7987</v>
      </c>
      <c r="J122" s="30">
        <v>2883.0837</v>
      </c>
    </row>
    <row r="123" spans="2:10" ht="12.75">
      <c r="B123" s="25"/>
      <c r="C123" s="25"/>
      <c r="D123" s="25"/>
      <c r="E123" s="214" t="s">
        <v>6</v>
      </c>
      <c r="F123" s="27">
        <v>2102.3766</v>
      </c>
      <c r="G123" s="27">
        <v>0</v>
      </c>
      <c r="H123" s="27">
        <f t="shared" si="6"/>
        <v>2102.3766</v>
      </c>
      <c r="I123" s="28">
        <v>104.50410000000001</v>
      </c>
      <c r="J123" s="30">
        <v>1997.8725</v>
      </c>
    </row>
    <row r="124" spans="2:10" ht="12.75">
      <c r="B124" s="25"/>
      <c r="C124" s="25"/>
      <c r="D124" s="25"/>
      <c r="E124" s="214" t="s">
        <v>7</v>
      </c>
      <c r="F124" s="27">
        <v>1933.425</v>
      </c>
      <c r="G124" s="27">
        <v>40.4532</v>
      </c>
      <c r="H124" s="27">
        <f t="shared" si="6"/>
        <v>1973.8781999999999</v>
      </c>
      <c r="I124" s="28">
        <v>92.2095</v>
      </c>
      <c r="J124" s="30">
        <v>1841.2155000000002</v>
      </c>
    </row>
    <row r="125" spans="2:10" ht="12.75">
      <c r="B125" s="25"/>
      <c r="C125" s="25"/>
      <c r="D125" s="25"/>
      <c r="E125" s="214" t="s">
        <v>8</v>
      </c>
      <c r="F125" s="27">
        <v>1997.8725000000002</v>
      </c>
      <c r="G125" s="27">
        <v>48.56367000000001</v>
      </c>
      <c r="H125" s="27">
        <f t="shared" si="6"/>
        <v>2046.4361700000002</v>
      </c>
      <c r="I125" s="28">
        <v>79.9149</v>
      </c>
      <c r="J125" s="30">
        <v>1917.9576000000002</v>
      </c>
    </row>
    <row r="126" spans="2:10" ht="12.75">
      <c r="B126" s="25"/>
      <c r="C126" s="25"/>
      <c r="D126" s="25"/>
      <c r="E126" s="214" t="s">
        <v>9</v>
      </c>
      <c r="F126" s="27">
        <v>1261.188</v>
      </c>
      <c r="G126" s="27">
        <v>165.9771</v>
      </c>
      <c r="H126" s="27">
        <f t="shared" si="6"/>
        <v>1427.1651000000002</v>
      </c>
      <c r="I126" s="28">
        <v>83.28599999999999</v>
      </c>
      <c r="J126" s="30">
        <v>1403.964</v>
      </c>
    </row>
    <row r="127" spans="2:10" ht="12.75">
      <c r="B127" s="25"/>
      <c r="C127" s="25"/>
      <c r="D127" s="25"/>
      <c r="E127" s="214" t="s">
        <v>10</v>
      </c>
      <c r="F127" s="27">
        <v>1161.8397</v>
      </c>
      <c r="G127" s="27">
        <v>368.22327</v>
      </c>
      <c r="H127" s="27">
        <f t="shared" si="6"/>
        <v>1530.06297</v>
      </c>
      <c r="I127" s="28">
        <v>79.9149</v>
      </c>
      <c r="J127" s="30">
        <v>1260.1965</v>
      </c>
    </row>
    <row r="128" spans="2:10" ht="12.75">
      <c r="B128" s="26"/>
      <c r="C128" s="26"/>
      <c r="D128" s="26"/>
      <c r="E128" s="211" t="s">
        <v>95</v>
      </c>
      <c r="F128" s="151">
        <f>SUM(F116:F127)</f>
        <v>25289.595599999997</v>
      </c>
      <c r="G128" s="151">
        <f>SUM(G116:G127)</f>
        <v>4273.00806</v>
      </c>
      <c r="H128" s="27">
        <f t="shared" si="6"/>
        <v>29562.603659999997</v>
      </c>
      <c r="I128" s="151">
        <v>6079.6797</v>
      </c>
      <c r="J128" s="152">
        <v>22804.8966</v>
      </c>
    </row>
    <row r="129" spans="2:10" ht="12.75">
      <c r="B129" s="4"/>
      <c r="C129" s="4"/>
      <c r="D129" s="4"/>
      <c r="E129" s="212" t="s">
        <v>98</v>
      </c>
      <c r="F129" s="213">
        <v>0.8755397807237352</v>
      </c>
      <c r="G129" s="213">
        <v>0.12446021927626472</v>
      </c>
      <c r="H129" s="4"/>
      <c r="I129" s="4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</sheetData>
  <mergeCells count="10">
    <mergeCell ref="A37:G37"/>
    <mergeCell ref="A1:G1"/>
    <mergeCell ref="E111:J111"/>
    <mergeCell ref="E113:E115"/>
    <mergeCell ref="F113:F114"/>
    <mergeCell ref="G113:G114"/>
    <mergeCell ref="H113:H114"/>
    <mergeCell ref="I113:I114"/>
    <mergeCell ref="J113:J114"/>
    <mergeCell ref="F115:J115"/>
  </mergeCells>
  <printOptions headings="1"/>
  <pageMargins left="0.75" right="0.75" top="1" bottom="1" header="0.5" footer="0.5"/>
  <pageSetup horizontalDpi="600" verticalDpi="600" orientation="landscape" r:id="rId2"/>
  <rowBreaks count="1" manualBreakCount="1">
    <brk id="9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39">
      <selection activeCell="N53" sqref="N53"/>
    </sheetView>
  </sheetViews>
  <sheetFormatPr defaultColWidth="9.140625" defaultRowHeight="12.75"/>
  <cols>
    <col min="1" max="1" width="16.421875" style="0" customWidth="1"/>
    <col min="2" max="2" width="18.421875" style="0" bestFit="1" customWidth="1"/>
    <col min="3" max="3" width="23.00390625" style="0" bestFit="1" customWidth="1"/>
    <col min="4" max="4" width="13.57421875" style="0" customWidth="1"/>
    <col min="5" max="5" width="11.7109375" style="0" bestFit="1" customWidth="1"/>
  </cols>
  <sheetData>
    <row r="1" spans="1:3" ht="12.75">
      <c r="A1" t="s">
        <v>13</v>
      </c>
      <c r="B1" s="1" t="s">
        <v>21</v>
      </c>
      <c r="C1">
        <v>21</v>
      </c>
    </row>
    <row r="2" spans="1:11" ht="12.75">
      <c r="A2" t="s">
        <v>19</v>
      </c>
      <c r="B2" s="1" t="s">
        <v>21</v>
      </c>
      <c r="C2">
        <v>8</v>
      </c>
      <c r="K2" s="5"/>
    </row>
    <row r="3" spans="1:13" ht="12.75">
      <c r="A3" t="s">
        <v>20</v>
      </c>
      <c r="B3" s="1" t="s">
        <v>22</v>
      </c>
      <c r="C3">
        <v>2.4</v>
      </c>
      <c r="K3" s="246"/>
      <c r="L3" s="246"/>
      <c r="M3" s="246"/>
    </row>
    <row r="5" ht="12.75">
      <c r="A5" t="s">
        <v>24</v>
      </c>
    </row>
    <row r="6" spans="1:2" ht="12.75">
      <c r="A6" t="s">
        <v>25</v>
      </c>
      <c r="B6">
        <f>+LN(C3)</f>
        <v>0.8754687373538999</v>
      </c>
    </row>
    <row r="7" spans="2:3" ht="12.75">
      <c r="B7">
        <f>20+(14.42*B6)</f>
        <v>32.62425919264324</v>
      </c>
      <c r="C7" t="s">
        <v>28</v>
      </c>
    </row>
    <row r="8" spans="1:2" ht="12.75">
      <c r="A8" t="s">
        <v>26</v>
      </c>
      <c r="B8">
        <f>+LN(C2)</f>
        <v>2.0794415416798357</v>
      </c>
    </row>
    <row r="9" spans="2:3" ht="12.75">
      <c r="B9">
        <f>+(9.81*B8)+30.6</f>
        <v>50.99932152387919</v>
      </c>
      <c r="C9" t="s">
        <v>28</v>
      </c>
    </row>
    <row r="10" spans="1:2" ht="12.75">
      <c r="A10" t="s">
        <v>27</v>
      </c>
      <c r="B10">
        <f>+LN(C1)</f>
        <v>3.044522437723423</v>
      </c>
    </row>
    <row r="11" spans="2:3" ht="12.75">
      <c r="B11">
        <f>+(14.42*B10)+4.15</f>
        <v>48.05201355197176</v>
      </c>
      <c r="C11" t="s">
        <v>28</v>
      </c>
    </row>
    <row r="13" ht="12.75">
      <c r="A13" t="s">
        <v>29</v>
      </c>
    </row>
    <row r="14" spans="1:2" ht="12.75">
      <c r="A14" t="s">
        <v>30</v>
      </c>
      <c r="B14">
        <f>+LN(C2)</f>
        <v>2.0794415416798357</v>
      </c>
    </row>
    <row r="15" spans="2:3" ht="12.75">
      <c r="B15">
        <f>20+(14.42*B14)</f>
        <v>49.98554703102323</v>
      </c>
      <c r="C15" t="s">
        <v>28</v>
      </c>
    </row>
    <row r="16" spans="1:2" ht="12.75">
      <c r="A16" t="s">
        <v>31</v>
      </c>
      <c r="B16">
        <f>+LN(C1)</f>
        <v>3.044522437723423</v>
      </c>
    </row>
    <row r="17" spans="2:3" ht="12.75">
      <c r="B17">
        <f>20.02*B16</f>
        <v>60.95133920322293</v>
      </c>
      <c r="C17" t="s">
        <v>33</v>
      </c>
    </row>
    <row r="18" spans="1:2" ht="12.75">
      <c r="A18" t="s">
        <v>32</v>
      </c>
      <c r="B18">
        <f>+LN(1/C3-0.08)</f>
        <v>-1.0886619578149417</v>
      </c>
    </row>
    <row r="19" spans="2:3" ht="12.75">
      <c r="B19">
        <f>75.34+(19.46*B18)</f>
        <v>54.154638300921235</v>
      </c>
      <c r="C19" t="s">
        <v>33</v>
      </c>
    </row>
    <row r="22" spans="1:7" ht="12.75">
      <c r="A22" t="s">
        <v>136</v>
      </c>
      <c r="B22" t="s">
        <v>103</v>
      </c>
      <c r="C22" s="247" t="s">
        <v>108</v>
      </c>
      <c r="D22" s="247"/>
      <c r="E22" s="247"/>
      <c r="F22" s="247"/>
      <c r="G22" t="s">
        <v>113</v>
      </c>
    </row>
    <row r="23" spans="2:7" ht="12.75">
      <c r="B23" t="s">
        <v>104</v>
      </c>
      <c r="C23" t="s">
        <v>105</v>
      </c>
      <c r="D23" t="s">
        <v>106</v>
      </c>
      <c r="E23" t="s">
        <v>107</v>
      </c>
      <c r="G23" s="48">
        <v>18880</v>
      </c>
    </row>
    <row r="24" spans="2:7" ht="12.75">
      <c r="B24">
        <v>25000</v>
      </c>
      <c r="C24">
        <v>5650</v>
      </c>
      <c r="D24" s="48">
        <f aca="true" t="shared" si="0" ref="D24:D32">C24+G$23</f>
        <v>24530</v>
      </c>
      <c r="E24">
        <v>1815</v>
      </c>
      <c r="G24" s="48"/>
    </row>
    <row r="25" spans="2:7" ht="12.75">
      <c r="B25">
        <v>50000</v>
      </c>
      <c r="C25" s="48">
        <v>11300</v>
      </c>
      <c r="D25" s="48">
        <f t="shared" si="0"/>
        <v>30180</v>
      </c>
      <c r="E25">
        <f aca="true" t="shared" si="1" ref="E25:E32">C25-G$29</f>
        <v>3630</v>
      </c>
      <c r="G25" s="48"/>
    </row>
    <row r="26" spans="2:7" ht="12.75">
      <c r="B26">
        <v>100000</v>
      </c>
      <c r="C26">
        <v>22600</v>
      </c>
      <c r="D26" s="48">
        <f t="shared" si="0"/>
        <v>41480</v>
      </c>
      <c r="E26">
        <f t="shared" si="1"/>
        <v>14930</v>
      </c>
      <c r="G26" s="48"/>
    </row>
    <row r="27" spans="2:5" ht="12.75">
      <c r="B27">
        <v>200000</v>
      </c>
      <c r="C27">
        <v>45210</v>
      </c>
      <c r="D27" s="48">
        <f t="shared" si="0"/>
        <v>64090</v>
      </c>
      <c r="E27">
        <f t="shared" si="1"/>
        <v>37540</v>
      </c>
    </row>
    <row r="28" spans="2:7" ht="12.75">
      <c r="B28">
        <v>261000</v>
      </c>
      <c r="C28">
        <v>59000</v>
      </c>
      <c r="D28" s="48">
        <f t="shared" si="0"/>
        <v>77880</v>
      </c>
      <c r="E28">
        <f t="shared" si="1"/>
        <v>51330</v>
      </c>
      <c r="G28" t="s">
        <v>114</v>
      </c>
    </row>
    <row r="29" spans="2:7" ht="12.75">
      <c r="B29">
        <v>275000</v>
      </c>
      <c r="C29">
        <v>62160</v>
      </c>
      <c r="D29" s="48">
        <f t="shared" si="0"/>
        <v>81040</v>
      </c>
      <c r="E29">
        <f t="shared" si="1"/>
        <v>54490</v>
      </c>
      <c r="G29">
        <v>7670</v>
      </c>
    </row>
    <row r="30" spans="2:5" ht="12.75">
      <c r="B30">
        <v>300000</v>
      </c>
      <c r="C30">
        <v>67820</v>
      </c>
      <c r="D30" s="48">
        <f t="shared" si="0"/>
        <v>86700</v>
      </c>
      <c r="E30">
        <f t="shared" si="1"/>
        <v>60150</v>
      </c>
    </row>
    <row r="31" spans="2:5" ht="12.75">
      <c r="B31">
        <v>350000</v>
      </c>
      <c r="C31">
        <v>79120</v>
      </c>
      <c r="D31" s="48">
        <f t="shared" si="0"/>
        <v>98000</v>
      </c>
      <c r="E31">
        <f t="shared" si="1"/>
        <v>71450</v>
      </c>
    </row>
    <row r="32" spans="2:5" ht="12.75">
      <c r="B32">
        <v>400000</v>
      </c>
      <c r="C32">
        <v>90425</v>
      </c>
      <c r="D32" s="48">
        <f t="shared" si="0"/>
        <v>109305</v>
      </c>
      <c r="E32">
        <f t="shared" si="1"/>
        <v>82755</v>
      </c>
    </row>
    <row r="57" spans="1:3" ht="12.75">
      <c r="A57" s="10" t="s">
        <v>135</v>
      </c>
      <c r="B57" s="81" t="s">
        <v>131</v>
      </c>
      <c r="C57" s="81" t="s">
        <v>132</v>
      </c>
    </row>
    <row r="58" spans="1:3" ht="12.75">
      <c r="A58" s="10"/>
      <c r="B58" s="81" t="s">
        <v>133</v>
      </c>
      <c r="C58" s="81"/>
    </row>
    <row r="59" spans="1:3" ht="12.75">
      <c r="A59" s="10"/>
      <c r="B59" s="81" t="s">
        <v>134</v>
      </c>
      <c r="C59" s="81"/>
    </row>
    <row r="60" spans="1:3" ht="12.75">
      <c r="A60" s="197">
        <v>1986</v>
      </c>
      <c r="B60" s="148">
        <v>272000</v>
      </c>
      <c r="C60" s="148"/>
    </row>
    <row r="61" spans="1:3" ht="12.75">
      <c r="A61" s="197">
        <v>1987</v>
      </c>
      <c r="B61" s="148">
        <v>295890</v>
      </c>
      <c r="C61" s="148"/>
    </row>
    <row r="62" spans="1:3" ht="12.75">
      <c r="A62" s="197">
        <v>1988</v>
      </c>
      <c r="B62" s="148">
        <v>303850</v>
      </c>
      <c r="C62" s="148"/>
    </row>
    <row r="63" spans="1:3" ht="12.75">
      <c r="A63" s="197">
        <v>1989</v>
      </c>
      <c r="B63" s="148">
        <v>294160</v>
      </c>
      <c r="C63" s="148"/>
    </row>
    <row r="64" spans="1:3" ht="12.75">
      <c r="A64" s="197">
        <v>1990</v>
      </c>
      <c r="B64" s="148">
        <v>283350</v>
      </c>
      <c r="C64" s="148"/>
    </row>
    <row r="65" spans="1:3" ht="12.75">
      <c r="A65" s="197">
        <v>1991</v>
      </c>
      <c r="B65" s="148">
        <v>300170</v>
      </c>
      <c r="C65" s="148">
        <v>7638.4</v>
      </c>
    </row>
    <row r="66" spans="1:3" ht="12.75">
      <c r="A66" s="197">
        <v>1992</v>
      </c>
      <c r="B66" s="148">
        <v>288460</v>
      </c>
      <c r="C66" s="148">
        <v>8042.72</v>
      </c>
    </row>
    <row r="67" spans="1:3" ht="12.75">
      <c r="A67" s="197">
        <v>1993</v>
      </c>
      <c r="B67" s="148">
        <v>274470</v>
      </c>
      <c r="C67" s="148">
        <v>6181.12</v>
      </c>
    </row>
    <row r="68" spans="1:3" ht="12.75">
      <c r="A68" s="197">
        <v>1994</v>
      </c>
      <c r="B68" s="148">
        <v>289850</v>
      </c>
      <c r="C68" s="148">
        <v>13763.2</v>
      </c>
    </row>
    <row r="69" spans="1:3" ht="12.75">
      <c r="A69" s="197">
        <v>1995</v>
      </c>
      <c r="B69" s="148">
        <v>307530</v>
      </c>
      <c r="C69" s="148">
        <v>69252.97</v>
      </c>
    </row>
    <row r="70" spans="1:3" ht="12.75">
      <c r="A70" s="197">
        <v>1996</v>
      </c>
      <c r="B70" s="148">
        <v>270659</v>
      </c>
      <c r="C70" s="148">
        <v>21799.33</v>
      </c>
    </row>
    <row r="71" spans="1:3" ht="12.75">
      <c r="A71" s="197">
        <v>1997</v>
      </c>
      <c r="B71" s="148">
        <v>280000</v>
      </c>
      <c r="C71" s="148">
        <v>22150</v>
      </c>
    </row>
    <row r="72" spans="1:3" ht="12.75">
      <c r="A72" s="198">
        <v>1998</v>
      </c>
      <c r="B72" s="149">
        <v>199463</v>
      </c>
      <c r="C72" s="199">
        <v>52167</v>
      </c>
    </row>
    <row r="73" spans="1:3" ht="12.75">
      <c r="A73" s="198">
        <v>1999</v>
      </c>
      <c r="B73" s="149">
        <v>205361</v>
      </c>
      <c r="C73" s="199">
        <v>44218</v>
      </c>
    </row>
    <row r="74" spans="1:3" ht="12.75">
      <c r="A74" s="197">
        <v>2000</v>
      </c>
      <c r="B74" s="148">
        <v>98268</v>
      </c>
      <c r="C74" s="199">
        <v>9380</v>
      </c>
    </row>
    <row r="75" spans="1:3" ht="12.75">
      <c r="A75" s="197">
        <v>2001</v>
      </c>
      <c r="B75" s="148">
        <v>75422</v>
      </c>
      <c r="C75" s="199">
        <v>8719</v>
      </c>
    </row>
    <row r="76" spans="1:3" ht="12.75">
      <c r="A76" s="209">
        <v>2002</v>
      </c>
      <c r="B76" s="210">
        <v>28884.5763</v>
      </c>
      <c r="C76" s="210">
        <v>2088.507847008</v>
      </c>
    </row>
    <row r="77" spans="2:3" ht="12.75">
      <c r="B77" s="48">
        <f>AVERAGE(B60:B75)</f>
        <v>252431.4375</v>
      </c>
      <c r="C77" s="48">
        <f>AVERAGE(C60:C75)</f>
        <v>23937.43090909091</v>
      </c>
    </row>
  </sheetData>
  <mergeCells count="2">
    <mergeCell ref="K3:M3"/>
    <mergeCell ref="C22:F2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R C O 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R C O G</dc:creator>
  <cp:keywords/>
  <dc:description/>
  <cp:lastModifiedBy>Russell N. Clayshulte</cp:lastModifiedBy>
  <cp:lastPrinted>2002-05-22T18:27:18Z</cp:lastPrinted>
  <dcterms:created xsi:type="dcterms:W3CDTF">1998-04-15T20:46:00Z</dcterms:created>
  <dcterms:modified xsi:type="dcterms:W3CDTF">2005-02-17T20:41:50Z</dcterms:modified>
  <cp:category/>
  <cp:version/>
  <cp:contentType/>
  <cp:contentStatus/>
</cp:coreProperties>
</file>