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5431" windowWidth="7965" windowHeight="3705" tabRatio="601" activeTab="5"/>
  </bookViews>
  <sheets>
    <sheet name="Secchi Trend" sheetId="1" r:id="rId1"/>
    <sheet name="Nutrient" sheetId="2" r:id="rId2"/>
    <sheet name="2003 Flow" sheetId="3" r:id="rId3"/>
    <sheet name="2003 Walker-carlson" sheetId="4" r:id="rId4"/>
    <sheet name="Res trends" sheetId="5" r:id="rId5"/>
    <sheet name="Loading" sheetId="6" r:id="rId6"/>
    <sheet name="Models" sheetId="7" r:id="rId7"/>
  </sheets>
  <definedNames>
    <definedName name="_xlnm.Print_Area" localSheetId="2">'2003 Flow'!$E$12:$J$47</definedName>
    <definedName name="_xlnm.Print_Area" localSheetId="6">'Models'!$A$5:$C$20</definedName>
    <definedName name="_xlnm.Print_Area">'2003 Walker-carlson'!$P$1:$V$25</definedName>
    <definedName name="PRINT_AREA_MI">'2003 Walker-carlson'!$P$1:$V$25</definedName>
  </definedNames>
  <calcPr fullCalcOnLoad="1"/>
</workbook>
</file>

<file path=xl/sharedStrings.xml><?xml version="1.0" encoding="utf-8"?>
<sst xmlns="http://schemas.openxmlformats.org/spreadsheetml/2006/main" count="424" uniqueCount="152">
  <si>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</si>
  <si>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</si>
  <si>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</si>
  <si>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</si>
  <si>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</si>
  <si>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</si>
  <si>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</si>
  <si>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</si>
  <si>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</si>
  <si>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</si>
  <si>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</si>
  <si>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Outflow</t>
  </si>
  <si>
    <t>Nitrate</t>
  </si>
  <si>
    <t>Total Phosphorus</t>
  </si>
  <si>
    <t>Reservior Data</t>
  </si>
  <si>
    <t>Secchi</t>
  </si>
  <si>
    <t>Chlorophyll</t>
  </si>
  <si>
    <t>Chlorophyll-a</t>
  </si>
  <si>
    <t>Secchi Depth</t>
  </si>
  <si>
    <t>ug/L</t>
  </si>
  <si>
    <t>m</t>
  </si>
  <si>
    <t>Year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</si>
  <si>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</si>
  <si>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</si>
  <si>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</si>
  <si>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</si>
  <si>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</si>
  <si>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</si>
  <si>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</si>
  <si>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</si>
  <si>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</si>
  <si>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</si>
  <si>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Sum</t>
  </si>
  <si>
    <t>TP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</si>
  <si>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</si>
  <si>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</si>
  <si>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</si>
  <si>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</si>
  <si>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</si>
  <si>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</si>
  <si>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</si>
  <si>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</si>
  <si>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</si>
  <si>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</si>
  <si>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</si>
  <si>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</si>
  <si>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</si>
  <si>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</si>
  <si>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</si>
  <si>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</si>
  <si>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</si>
  <si>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</si>
  <si>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</si>
  <si>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</si>
  <si>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</si>
  <si>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</si>
  <si>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</si>
  <si>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</si>
  <si>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</si>
  <si>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</si>
  <si>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</si>
  <si>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</si>
  <si>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</si>
  <si>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</si>
  <si>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</si>
  <si>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</si>
  <si>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</si>
  <si>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</si>
  <si>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</si>
  <si>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</si>
  <si>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</si>
  <si>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</si>
  <si>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</si>
  <si>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</si>
  <si>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</si>
  <si>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</si>
  <si>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</si>
  <si>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</si>
  <si>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Jan</t>
  </si>
  <si>
    <t>Plum Creek</t>
  </si>
  <si>
    <t>ac-ft/mo</t>
  </si>
  <si>
    <t>South Platte River Inflow</t>
  </si>
  <si>
    <t>Plum Creek Inflow</t>
  </si>
  <si>
    <t>Total Inflow</t>
  </si>
  <si>
    <t>Annual</t>
  </si>
  <si>
    <t>Reservoir Outflow</t>
  </si>
  <si>
    <t>Reservoir Retention</t>
  </si>
  <si>
    <t>% of Flow</t>
  </si>
  <si>
    <t>DATE</t>
  </si>
  <si>
    <t>South Platte</t>
  </si>
  <si>
    <t>Reservoir</t>
  </si>
  <si>
    <t>Retention</t>
  </si>
  <si>
    <t>TMAL graph</t>
  </si>
  <si>
    <t>Volume (acre-ft/year)</t>
  </si>
  <si>
    <t>Total phosphorus (pounds)</t>
  </si>
  <si>
    <t>Upper Bound</t>
  </si>
  <si>
    <t>Lower Bound</t>
  </si>
  <si>
    <t>Assume 18,000 annual pounds implict margin of safety</t>
  </si>
  <si>
    <t>32%higher</t>
  </si>
  <si>
    <t>13% upward bias</t>
  </si>
  <si>
    <t>TSS</t>
  </si>
  <si>
    <t>South Platte River</t>
  </si>
  <si>
    <t>TABLE 6</t>
  </si>
  <si>
    <t>CHATFIELD RESERVOIR</t>
  </si>
  <si>
    <t>Total-</t>
  </si>
  <si>
    <t>Phosphorus</t>
  </si>
  <si>
    <t>Concentration</t>
  </si>
  <si>
    <r>
      <t>(ug/L)</t>
    </r>
    <r>
      <rPr>
        <vertAlign val="superscript"/>
        <sz val="12"/>
        <rFont val="Tms Rmn"/>
        <family val="1"/>
      </rPr>
      <t>1)3)</t>
    </r>
  </si>
  <si>
    <t>4)</t>
  </si>
  <si>
    <t>Mean</t>
  </si>
  <si>
    <t>Std. Dev.</t>
  </si>
  <si>
    <t>Maximum</t>
  </si>
  <si>
    <t>Minimum</t>
  </si>
  <si>
    <t>N</t>
  </si>
  <si>
    <r>
      <t>(ug/L)</t>
    </r>
    <r>
      <rPr>
        <vertAlign val="superscript"/>
        <sz val="12"/>
        <rFont val="Tms Rmn"/>
        <family val="1"/>
      </rPr>
      <t>1)2)</t>
    </r>
  </si>
  <si>
    <t xml:space="preserve">Total </t>
  </si>
  <si>
    <t>TP Loading</t>
  </si>
  <si>
    <t>Volume</t>
  </si>
  <si>
    <t>acre-ft</t>
  </si>
  <si>
    <t>Annual TMAL</t>
  </si>
  <si>
    <t>TMAL Target Line</t>
  </si>
  <si>
    <t>GROWING SEASON (July-September)</t>
  </si>
  <si>
    <t>Growing 7-9</t>
  </si>
  <si>
    <t>GS</t>
  </si>
  <si>
    <t>Total Nitrate Loading</t>
  </si>
  <si>
    <t>Total</t>
  </si>
  <si>
    <t>South Platte Outflow</t>
  </si>
  <si>
    <t>Solids (TSS)</t>
  </si>
  <si>
    <t>Chatfield Reservoir</t>
  </si>
  <si>
    <t>Total Nitrogen</t>
  </si>
  <si>
    <t>2002 Nitrate Loadings</t>
  </si>
  <si>
    <t xml:space="preserve">Year </t>
  </si>
  <si>
    <t>Visual Depth (ft)</t>
  </si>
  <si>
    <t>Growing Season Average Secchi Depth (Feet)</t>
  </si>
  <si>
    <t>Pounds/Mo</t>
  </si>
  <si>
    <t>2003 Flow Estimates Chatfield Watershed</t>
  </si>
  <si>
    <t>2003 Total Phosphorus loading</t>
  </si>
  <si>
    <t>2003 Chatfield Reservoir</t>
  </si>
  <si>
    <t>mg/l</t>
  </si>
  <si>
    <t>avg</t>
  </si>
  <si>
    <t>tss</t>
  </si>
  <si>
    <t>tp</t>
  </si>
  <si>
    <t>Mg/Kg</t>
  </si>
  <si>
    <t>sediment</t>
  </si>
  <si>
    <t>Cadmium</t>
  </si>
  <si>
    <t>Copper</t>
  </si>
  <si>
    <t>Lead</t>
  </si>
  <si>
    <t>Mercury</t>
  </si>
  <si>
    <t>Selenium</t>
  </si>
  <si>
    <t>Mg/Kg)</t>
  </si>
  <si>
    <t>Minimum Detection Limit [MDL]</t>
  </si>
  <si>
    <t>Practical Quantitation Limit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</si>
</sst>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  <numFmt numFmtId="174" formatCode="0.0_)"/>
    <numFmt numFmtId="175" formatCode="0.00_)"/>
    <numFmt numFmtId="176" formatCode="000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mmmm\-yy;@"/>
    <numFmt numFmtId="183" formatCode="yyyy"/>
  </numFmts>
  <fonts count="79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.25"/>
      <name val="Arial"/>
      <family val="2"/>
    </font>
    <font>
      <sz val="14.5"/>
      <name val="Arial"/>
      <family val="0"/>
    </font>
    <font>
      <sz val="11.25"/>
      <name val="Arial"/>
      <family val="0"/>
    </font>
    <font>
      <sz val="16.25"/>
      <name val="Arial"/>
      <family val="0"/>
    </font>
    <font>
      <b/>
      <sz val="11"/>
      <name val="Arial"/>
      <family val="2"/>
    </font>
    <font>
      <sz val="11.75"/>
      <name val="Arial"/>
      <family val="0"/>
    </font>
    <font>
      <sz val="8.5"/>
      <name val="Arial"/>
      <family val="2"/>
    </font>
    <font>
      <b/>
      <sz val="10.75"/>
      <name val="Arial"/>
      <family val="2"/>
    </font>
    <font>
      <sz val="17.75"/>
      <name val="Arial"/>
      <family val="0"/>
    </font>
    <font>
      <b/>
      <sz val="9.25"/>
      <name val="Arial"/>
      <family val="2"/>
    </font>
    <font>
      <sz val="11.5"/>
      <name val="Arial"/>
      <family val="0"/>
    </font>
    <font>
      <b/>
      <sz val="8"/>
      <name val="Arial"/>
      <family val="2"/>
    </font>
    <font>
      <sz val="8.25"/>
      <name val="Arial"/>
      <family val="2"/>
    </font>
    <font>
      <sz val="9"/>
      <name val="Arial"/>
      <family val="2"/>
    </font>
    <font>
      <u val="single"/>
      <sz val="10"/>
      <color indexed="12"/>
      <name val="Helvetica"/>
      <family val="2"/>
    </font>
    <font>
      <b/>
      <sz val="9.75"/>
      <name val="Arial"/>
      <family val="2"/>
    </font>
    <font>
      <sz val="8"/>
      <name val="Helvetica"/>
      <family val="2"/>
    </font>
    <font>
      <sz val="10"/>
      <name val="Helv"/>
      <family val="0"/>
    </font>
    <font>
      <sz val="8"/>
      <name val="Helv"/>
      <family val="0"/>
    </font>
    <font>
      <b/>
      <sz val="11.25"/>
      <name val="Arial"/>
      <family val="2"/>
    </font>
    <font>
      <sz val="16.75"/>
      <name val="Arial"/>
      <family val="0"/>
    </font>
    <font>
      <sz val="9.75"/>
      <name val="Arial"/>
      <family val="2"/>
    </font>
    <font>
      <sz val="18.5"/>
      <name val="Arial"/>
      <family val="0"/>
    </font>
    <font>
      <sz val="16.5"/>
      <name val="Arial"/>
      <family val="0"/>
    </font>
    <font>
      <b/>
      <sz val="14.75"/>
      <name val="Arial"/>
      <family val="0"/>
    </font>
    <font>
      <sz val="8"/>
      <name val="Tms Rmn"/>
      <family val="1"/>
    </font>
    <font>
      <b/>
      <sz val="11.5"/>
      <name val="Arial"/>
      <family val="0"/>
    </font>
    <font>
      <b/>
      <sz val="14.25"/>
      <name val="Arial"/>
      <family val="0"/>
    </font>
    <font>
      <b/>
      <sz val="8"/>
      <name val="Tms Rmn"/>
      <family val="0"/>
    </font>
    <font>
      <b/>
      <sz val="8.25"/>
      <name val="Arial"/>
      <family val="2"/>
    </font>
    <font>
      <sz val="9"/>
      <name val="Tms Rmn"/>
      <family val="0"/>
    </font>
    <font>
      <i/>
      <sz val="9"/>
      <name val="Tms Rmn"/>
      <family val="0"/>
    </font>
    <font>
      <sz val="12"/>
      <name val="Tms Rmn"/>
      <family val="0"/>
    </font>
    <font>
      <vertAlign val="superscript"/>
      <sz val="12"/>
      <name val="Tms Rmn"/>
      <family val="1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sz val="10.25"/>
      <name val="Helvetica-Black"/>
      <family val="2"/>
    </font>
    <font>
      <b/>
      <sz val="15"/>
      <name val="Arial"/>
      <family val="2"/>
    </font>
    <font>
      <sz val="10.25"/>
      <name val="Arial"/>
      <family val="0"/>
    </font>
    <font>
      <sz val="20.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u val="single"/>
      <sz val="10"/>
      <color indexed="36"/>
      <name val="Helvetica"/>
      <family val="2"/>
    </font>
    <font>
      <b/>
      <sz val="10"/>
      <name val="Helvetica"/>
      <family val="2"/>
    </font>
    <font>
      <sz val="9.25"/>
      <name val="Helvetica-Black"/>
      <family val="2"/>
    </font>
    <font>
      <b/>
      <sz val="16"/>
      <name val="Arial"/>
      <family val="2"/>
    </font>
    <font>
      <u val="single"/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ms Rmn"/>
      <family val="0"/>
    </font>
    <font>
      <sz val="9"/>
      <color indexed="8"/>
      <name val="Comic Sans MS"/>
      <family val="4"/>
    </font>
    <font>
      <b/>
      <sz val="8.5"/>
      <name val="Arial"/>
      <family val="2"/>
    </font>
    <font>
      <sz val="9"/>
      <name val="Helvetica"/>
      <family val="2"/>
    </font>
    <font>
      <vertAlign val="superscript"/>
      <sz val="9.75"/>
      <name val="Arial"/>
      <family val="2"/>
    </font>
    <font>
      <b/>
      <sz val="8.75"/>
      <name val="Arial"/>
      <family val="2"/>
    </font>
    <font>
      <b/>
      <sz val="8"/>
      <name val="Helvetica"/>
      <family val="0"/>
    </font>
    <font>
      <b/>
      <sz val="9.5"/>
      <name val="Arial"/>
      <family val="2"/>
    </font>
    <font>
      <vertAlign val="superscript"/>
      <sz val="10.25"/>
      <name val="Arial"/>
      <family val="0"/>
    </font>
    <font>
      <i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Comic Sans MS"/>
      <family val="4"/>
    </font>
    <font>
      <b/>
      <sz val="9"/>
      <color indexed="8"/>
      <name val="Arial"/>
      <family val="2"/>
    </font>
    <font>
      <sz val="5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73" fontId="27" fillId="0" borderId="0" xfId="0" applyNumberFormat="1" applyFont="1" applyAlignment="1" applyProtection="1">
      <alignment/>
      <protection/>
    </xf>
    <xf numFmtId="1" fontId="27" fillId="0" borderId="0" xfId="0" applyNumberFormat="1" applyFont="1" applyAlignment="1" applyProtection="1">
      <alignment/>
      <protection/>
    </xf>
    <xf numFmtId="171" fontId="27" fillId="0" borderId="0" xfId="0" applyNumberFormat="1" applyFont="1" applyAlignment="1" applyProtection="1">
      <alignment/>
      <protection/>
    </xf>
    <xf numFmtId="2" fontId="27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5" fillId="0" borderId="0" xfId="0" applyFont="1" applyFill="1" applyAlignment="1">
      <alignment/>
    </xf>
    <xf numFmtId="169" fontId="35" fillId="0" borderId="0" xfId="0" applyNumberFormat="1" applyFont="1" applyFill="1" applyAlignment="1">
      <alignment/>
    </xf>
    <xf numFmtId="0" fontId="35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171" fontId="35" fillId="0" borderId="0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" fillId="3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5" fontId="35" fillId="0" borderId="0" xfId="0" applyNumberFormat="1" applyFont="1" applyFill="1" applyAlignment="1">
      <alignment horizontal="center"/>
    </xf>
    <xf numFmtId="20" fontId="35" fillId="0" borderId="0" xfId="0" applyNumberFormat="1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2" xfId="0" applyFont="1" applyFill="1" applyBorder="1" applyAlignment="1">
      <alignment horizontal="center"/>
    </xf>
    <xf numFmtId="169" fontId="38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4" fontId="35" fillId="0" borderId="0" xfId="0" applyNumberFormat="1" applyFont="1" applyFill="1" applyAlignment="1">
      <alignment horizontal="center"/>
    </xf>
    <xf numFmtId="22" fontId="35" fillId="0" borderId="0" xfId="0" applyNumberFormat="1" applyFont="1" applyFill="1" applyAlignment="1">
      <alignment horizontal="center"/>
    </xf>
    <xf numFmtId="164" fontId="35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5" fontId="40" fillId="0" borderId="0" xfId="0" applyNumberFormat="1" applyFont="1" applyFill="1" applyAlignment="1">
      <alignment horizontal="center"/>
    </xf>
    <xf numFmtId="20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Continuous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1" fontId="42" fillId="0" borderId="0" xfId="0" applyNumberFormat="1" applyFont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174" fontId="42" fillId="0" borderId="0" xfId="0" applyNumberFormat="1" applyFont="1" applyAlignment="1" applyProtection="1">
      <alignment horizontal="center"/>
      <protection/>
    </xf>
    <xf numFmtId="169" fontId="42" fillId="0" borderId="0" xfId="0" applyNumberFormat="1" applyFont="1" applyAlignment="1">
      <alignment horizontal="center"/>
    </xf>
    <xf numFmtId="174" fontId="42" fillId="0" borderId="0" xfId="0" applyNumberFormat="1" applyFont="1" applyAlignment="1">
      <alignment horizontal="center"/>
    </xf>
    <xf numFmtId="174" fontId="4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72" fontId="26" fillId="0" borderId="0" xfId="0" applyNumberFormat="1" applyFont="1" applyAlignment="1" applyProtection="1">
      <alignment/>
      <protection/>
    </xf>
    <xf numFmtId="0" fontId="38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169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4" fontId="4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1" fontId="42" fillId="0" borderId="0" xfId="0" applyNumberFormat="1" applyFont="1" applyAlignment="1" applyProtection="1">
      <alignment horizontal="center"/>
      <protection/>
    </xf>
    <xf numFmtId="1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 horizontal="right"/>
    </xf>
    <xf numFmtId="0" fontId="42" fillId="0" borderId="0" xfId="0" applyFont="1" applyBorder="1" applyAlignment="1">
      <alignment horizontal="centerContinuous"/>
    </xf>
    <xf numFmtId="1" fontId="42" fillId="0" borderId="0" xfId="0" applyNumberFormat="1" applyFont="1" applyBorder="1" applyAlignment="1">
      <alignment horizontal="center"/>
    </xf>
    <xf numFmtId="169" fontId="42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0" fontId="28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5" fontId="44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15" fontId="58" fillId="0" borderId="0" xfId="0" applyNumberFormat="1" applyFont="1" applyFill="1" applyBorder="1" applyAlignment="1">
      <alignment horizontal="right" wrapText="1"/>
    </xf>
    <xf numFmtId="2" fontId="44" fillId="0" borderId="0" xfId="0" applyNumberFormat="1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/>
    </xf>
    <xf numFmtId="2" fontId="63" fillId="0" borderId="0" xfId="0" applyNumberFormat="1" applyFont="1" applyFill="1" applyAlignment="1">
      <alignment horizontal="center"/>
    </xf>
    <xf numFmtId="15" fontId="64" fillId="0" borderId="0" xfId="0" applyNumberFormat="1" applyFont="1" applyFill="1" applyAlignment="1">
      <alignment horizontal="center"/>
    </xf>
    <xf numFmtId="2" fontId="64" fillId="0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168" fontId="40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67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69" fontId="58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10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23" fillId="4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2" fontId="64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4" fontId="35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2" fontId="74" fillId="0" borderId="0" xfId="0" applyNumberFormat="1" applyFont="1" applyFill="1" applyBorder="1" applyAlignment="1">
      <alignment horizontal="center"/>
    </xf>
    <xf numFmtId="49" fontId="75" fillId="0" borderId="0" xfId="0" applyNumberFormat="1" applyFont="1" applyFill="1" applyBorder="1" applyAlignment="1">
      <alignment horizontal="center"/>
    </xf>
    <xf numFmtId="0" fontId="74" fillId="0" borderId="4" xfId="0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169" fontId="3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1" fontId="62" fillId="0" borderId="0" xfId="0" applyNumberFormat="1" applyFont="1" applyFill="1" applyBorder="1" applyAlignment="1">
      <alignment horizontal="left" vertical="top" wrapText="1"/>
    </xf>
    <xf numFmtId="0" fontId="75" fillId="0" borderId="5" xfId="0" applyFont="1" applyBorder="1" applyAlignment="1">
      <alignment horizontal="center"/>
    </xf>
    <xf numFmtId="0" fontId="75" fillId="0" borderId="5" xfId="0" applyFont="1" applyBorder="1" applyAlignment="1">
      <alignment horizontal="center" wrapText="1"/>
    </xf>
    <xf numFmtId="0" fontId="75" fillId="0" borderId="6" xfId="0" applyFont="1" applyBorder="1" applyAlignment="1">
      <alignment horizontal="center" wrapText="1"/>
    </xf>
    <xf numFmtId="0" fontId="77" fillId="4" borderId="7" xfId="0" applyFont="1" applyFill="1" applyBorder="1" applyAlignment="1">
      <alignment horizontal="center" vertical="top"/>
    </xf>
    <xf numFmtId="0" fontId="77" fillId="4" borderId="6" xfId="0" applyFont="1" applyFill="1" applyBorder="1" applyAlignment="1">
      <alignment horizontal="center" vertical="top"/>
    </xf>
    <xf numFmtId="0" fontId="75" fillId="0" borderId="6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top"/>
    </xf>
    <xf numFmtId="0" fontId="75" fillId="4" borderId="8" xfId="0" applyFont="1" applyFill="1" applyBorder="1" applyAlignment="1">
      <alignment/>
    </xf>
    <xf numFmtId="182" fontId="75" fillId="4" borderId="8" xfId="0" applyNumberFormat="1" applyFont="1" applyFill="1" applyBorder="1" applyAlignment="1">
      <alignment horizontal="center" wrapText="1"/>
    </xf>
    <xf numFmtId="182" fontId="75" fillId="4" borderId="9" xfId="0" applyNumberFormat="1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6" fillId="0" borderId="0" xfId="0" applyNumberFormat="1" applyFont="1" applyAlignment="1">
      <alignment horizontal="center"/>
    </xf>
    <xf numFmtId="164" fontId="2" fillId="4" borderId="10" xfId="0" applyNumberFormat="1" applyFont="1" applyFill="1" applyBorder="1" applyAlignment="1">
      <alignment horizontal="center" wrapText="1"/>
    </xf>
    <xf numFmtId="164" fontId="2" fillId="4" borderId="11" xfId="0" applyNumberFormat="1" applyFont="1" applyFill="1" applyBorder="1" applyAlignment="1">
      <alignment horizontal="center" wrapText="1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4" fillId="4" borderId="10" xfId="0" applyFont="1" applyFill="1" applyBorder="1" applyAlignment="1">
      <alignment wrapText="1"/>
    </xf>
    <xf numFmtId="0" fontId="54" fillId="4" borderId="11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Growing Season Average Secchi Depth (Feet)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'Secchi Trend'!$C$3</c:f>
              <c:strCache>
                <c:ptCount val="1"/>
                <c:pt idx="0">
                  <c:v>Visual Depth (ft)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'Secchi Trend'!$B$4:$B$19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'Secchi Trend'!$C$4:$C$19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hape val="box"/>
        <c:axId val="62877598"/>
        <c:axId val="29027471"/>
      </c:bar3DChart>
      <c:catAx>
        <c:axId val="6287759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9027471"/>
        <c:crosses val="autoZero"/>
        <c:auto val="1"/>
        <c:lblOffset val="100"/>
        <c:tickLblSkip val="1"/>
        <c:noMultiLvlLbl val="0"/>
      </c:catAx>
      <c:valAx>
        <c:axId val="2902747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Visual Depth Into Water Column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775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1991-2003 Walker's Seasonal Trophic Pediction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845"/>
          <c:h val="0.8012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cat>
            <c:numRef>
              <c:f>'2003 Walker-carlson'!$R$16:$AD$16</c:f>
              <c:numCache/>
            </c:numRef>
          </c:cat>
          <c:val>
            <c:numRef>
              <c:f>'2003 Walker-carlson'!$R$26:$AD$26</c:f>
              <c:numCache/>
            </c:numRef>
          </c:val>
          <c:smooth val="1"/>
        </c:ser>
        <c:marker val="1"/>
        <c:axId val="21449326"/>
        <c:axId val="58826207"/>
      </c:line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826207"/>
        <c:crosses val="autoZero"/>
        <c:auto val="1"/>
        <c:lblOffset val="100"/>
        <c:noMultiLvlLbl val="0"/>
      </c:catAx>
      <c:valAx>
        <c:axId val="5882620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1449326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1991- 2003 Carlson's Seasonal Trophic Prediction
</a:t>
            </a:r>
            <a:r>
              <a:rPr lang="en-US" cap="none" sz="1200" b="1" i="0" u="none" baseline="0"/>
              <a:t>Chatfield Reservoir</a:t>
            </a:r>
          </a:p>
        </c:rich>
      </c:tx>
      <c:layout>
        <c:manualLayout>
          <c:xMode val="factor"/>
          <c:yMode val="factor"/>
          <c:x val="0.027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70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'2003 Walker-carlson'!$A$29</c:f>
              <c:strCache>
                <c:ptCount val="1"/>
                <c:pt idx="0">
                  <c:v>Secchi Depth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'2003 Walker-carlson'!$C$28:$O$28</c:f>
              <c:numCache/>
            </c:numRef>
          </c:cat>
          <c:val>
            <c:numRef>
              <c:f>'2003 Walker-carlson'!$C$30:$O$30</c:f>
              <c:numCache/>
            </c:numRef>
          </c:val>
          <c:smooth val="1"/>
        </c:ser>
        <c:ser>
          <c:idx val="1"/>
          <c:order val="1"/>
          <c:tx>
            <c:strRef>
              <c:f>'2003 Walker-carlson'!$A$32</c:f>
              <c:strCache>
                <c:ptCount val="1"/>
                <c:pt idx="0">
                  <c:v>Chlorophyll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'2003 Walker-carlson'!$C$28:$O$28</c:f>
              <c:numCache/>
            </c:numRef>
          </c:cat>
          <c:val>
            <c:numRef>
              <c:f>'2003 Walker-carlson'!$C$33:$O$33</c:f>
              <c:numCache/>
            </c:numRef>
          </c:val>
          <c:smooth val="1"/>
        </c:ser>
        <c:ser>
          <c:idx val="2"/>
          <c:order val="2"/>
          <c:tx>
            <c:strRef>
              <c:f>'2003 Walker-carlson'!$A$35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auto"/>
            </c:marker>
          </c:dP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3"/>
            <c:dispEq val="0"/>
            <c:dispRSqr val="0"/>
          </c:trendline>
          <c:cat>
            <c:numRef>
              <c:f>'2003 Walker-carlson'!$C$28:$O$28</c:f>
              <c:numCache/>
            </c:numRef>
          </c:cat>
          <c:val>
            <c:numRef>
              <c:f>'2003 Walker-carlson'!$C$36:$O$36</c:f>
              <c:numCache/>
            </c:numRef>
          </c:val>
          <c:smooth val="1"/>
        </c:ser>
        <c:marker val="1"/>
        <c:axId val="59673816"/>
        <c:axId val="193433"/>
      </c:line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3433"/>
        <c:crosses val="autoZero"/>
        <c:auto val="1"/>
        <c:lblOffset val="100"/>
        <c:noMultiLvlLbl val="0"/>
      </c:catAx>
      <c:valAx>
        <c:axId val="19343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96738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"/>
          <c:y val="0.2385"/>
          <c:w val="0.54625"/>
          <c:h val="0.13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Chatfield Reservoir 
Growing Season Average Chlorophyll-a </a:t>
            </a:r>
          </a:p>
        </c:rich>
      </c:tx>
      <c:layout>
        <c:manualLayout>
          <c:xMode val="factor"/>
          <c:yMode val="factor"/>
          <c:x val="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175"/>
          <c:w val="0.9252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'Res trends'!$A$42:$A$62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trends'!$B$42:$B$62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40898"/>
        <c:axId val="15668083"/>
      </c:lineChart>
      <c:catAx>
        <c:axId val="1740898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5668083"/>
        <c:crosses val="autoZero"/>
        <c:auto val="1"/>
        <c:lblOffset val="100"/>
        <c:tickLblSkip val="1"/>
        <c:noMultiLvlLbl val="0"/>
      </c:catAx>
      <c:valAx>
        <c:axId val="1566808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40898"/>
        <c:crossesAt val="1"/>
        <c:crossBetween val="between"/>
        <c:dispUnits/>
        <c:minorUnit val="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Chatfield Reservoir
 Annual Total Phosphorus vs. Chlorophyll-a</a:t>
            </a:r>
          </a:p>
        </c:rich>
      </c:tx>
      <c:layout>
        <c:manualLayout>
          <c:xMode val="factor"/>
          <c:yMode val="factor"/>
          <c:x val="-0.0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15"/>
          <c:w val="0.886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'Res trends'!$B$19</c:f>
              <c:strCache>
                <c:ptCount val="1"/>
                <c:pt idx="0">
                  <c:v>Chlorophyll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trends'!$B$20:$B$40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6795020"/>
        <c:axId val="61155181"/>
      </c:barChart>
      <c:lineChart>
        <c:grouping val="standard"/>
        <c:varyColors val="0"/>
        <c:ser>
          <c:idx val="0"/>
          <c:order val="1"/>
          <c:tx>
            <c:strRef>
              <c:f>'Res trends'!$C$19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trends'!$C$20:$C$40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axId val="13525718"/>
        <c:axId val="54622599"/>
      </c:lineChart>
      <c:catAx>
        <c:axId val="6795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155181"/>
        <c:crosses val="autoZero"/>
        <c:auto val="0"/>
        <c:lblOffset val="100"/>
        <c:tickLblSkip val="1"/>
        <c:noMultiLvlLbl val="0"/>
      </c:catAx>
      <c:valAx>
        <c:axId val="611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795020"/>
        <c:crossesAt val="1"/>
        <c:crossBetween val="between"/>
        <c:dispUnits/>
      </c:valAx>
      <c:catAx>
        <c:axId val="13525718"/>
        <c:scaling>
          <c:orientation val="minMax"/>
        </c:scaling>
        <c:axPos val="b"/>
        <c:delete val="1"/>
        <c:majorTickMark val="in"/>
        <c:minorTickMark val="none"/>
        <c:tickLblPos val="nextTo"/>
        <c:crossAx val="54622599"/>
        <c:crosses val="autoZero"/>
        <c:auto val="0"/>
        <c:lblOffset val="100"/>
        <c:noMultiLvlLbl val="0"/>
      </c:catAx>
      <c:valAx>
        <c:axId val="546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2571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895"/>
          <c:y val="0.288"/>
          <c:w val="0.1935"/>
          <c:h val="0.1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  <a:r>
              <a:rPr lang="en-US" cap="none" sz="1150" b="1" i="0" u="none" baseline="0"/>
              <a:t>1982-2003 Chatfield Reservoir Chlorophyll &amp; Phosphorus Growing Season Linear Trend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875"/>
          <c:w val="0.906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y = 0.3045x</a:t>
                    </a:r>
                    <a:r>
                      <a:rPr lang="en-US" cap="none" sz="975" b="0" i="0" u="none" baseline="30000"/>
                      <a:t>2</a:t>
                    </a:r>
                    <a:r>
                      <a:rPr lang="en-US" cap="none" sz="975" b="0" i="0" u="none" baseline="0"/>
                      <a:t> - 0.0932x + 1.2584
R</a:t>
                    </a:r>
                    <a:r>
                      <a:rPr lang="en-US" cap="none" sz="975" b="0" i="0" u="none" baseline="30000"/>
                      <a:t>2</a:t>
                    </a:r>
                    <a:r>
                      <a:rPr lang="en-US" cap="none" sz="975" b="0" i="0" u="none" baseline="0"/>
                      <a:t> = 0.3375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'Res trends'!$D$42:$D$62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'Res trends'!$E$42:$E$62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1841344"/>
        <c:axId val="62354369"/>
      </c:scatterChart>
      <c:valAx>
        <c:axId val="2184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2354369"/>
        <c:crosses val="autoZero"/>
        <c:crossBetween val="midCat"/>
        <c:dispUnits/>
      </c:valAx>
      <c:valAx>
        <c:axId val="62354369"/>
        <c:scaling>
          <c:orientation val="minMax"/>
          <c:max val="1.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1841344"/>
        <c:crosses val="autoZero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 2003 </a:t>
            </a:r>
            <a:r>
              <a:rPr lang="en-US" cap="none" sz="1200" b="1" i="0" u="none" baseline="0"/>
              <a:t>Chatfield Reservoir Secchi Depth</a:t>
            </a:r>
          </a:p>
        </c:rich>
      </c:tx>
      <c:layout>
        <c:manualLayout>
          <c:xMode val="factor"/>
          <c:yMode val="factor"/>
          <c:x val="0.07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425"/>
          <c:w val="0.875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dispEq val="0"/>
            <c:dispRSqr val="0"/>
          </c:trendline>
          <c:cat>
            <c:strRef>
              <c:f>'Res trends'!$E$3:$E$14</c:f>
              <c:strCache/>
            </c:strRef>
          </c:cat>
          <c:val>
            <c:numRef>
              <c:f>'Res trends'!$D$3:$D$14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24318410"/>
        <c:axId val="17539099"/>
      </c:lineChart>
      <c:catAx>
        <c:axId val="243184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Helvetica"/>
                <a:ea typeface="Helvetica"/>
                <a:cs typeface="Helvetica"/>
              </a:defRPr>
            </a:pPr>
          </a:p>
        </c:txPr>
        <c:crossAx val="17539099"/>
        <c:crosses val="autoZero"/>
        <c:auto val="1"/>
        <c:lblOffset val="100"/>
        <c:noMultiLvlLbl val="0"/>
      </c:catAx>
      <c:valAx>
        <c:axId val="175390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Clarity 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24318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1982-2003 </a:t>
            </a:r>
            <a:r>
              <a:rPr lang="en-US" cap="none" sz="900" b="1" i="0" u="none" baseline="0"/>
              <a:t>Chatfield Reservoir
 Seasonal Total Phosphorus vs. Chlorophyll-a
</a:t>
            </a:r>
          </a:p>
        </c:rich>
      </c:tx>
      <c:layout>
        <c:manualLayout>
          <c:xMode val="factor"/>
          <c:yMode val="factor"/>
          <c:x val="0.02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365"/>
          <c:w val="0.90475"/>
          <c:h val="0.838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 trends'!$A$20:$A$40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'Res trends'!$B$42:$B$62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3634164"/>
        <c:axId val="11380885"/>
      </c:barChart>
      <c:lineChart>
        <c:grouping val="standard"/>
        <c:varyColors val="0"/>
        <c:ser>
          <c:idx val="0"/>
          <c:order val="1"/>
          <c:tx>
            <c:v>Total Phosphorus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 trends'!$C$42:$C$62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axId val="35319102"/>
        <c:axId val="49436463"/>
      </c:lineChart>
      <c:catAx>
        <c:axId val="236341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380885"/>
        <c:crosses val="autoZero"/>
        <c:auto val="0"/>
        <c:lblOffset val="100"/>
        <c:tickLblSkip val="1"/>
        <c:noMultiLvlLbl val="0"/>
      </c:catAx>
      <c:valAx>
        <c:axId val="1138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34164"/>
        <c:crossesAt val="1"/>
        <c:crossBetween val="between"/>
        <c:dispUnits/>
      </c:valAx>
      <c:catAx>
        <c:axId val="35319102"/>
        <c:scaling>
          <c:orientation val="minMax"/>
        </c:scaling>
        <c:axPos val="b"/>
        <c:delete val="1"/>
        <c:majorTickMark val="in"/>
        <c:minorTickMark val="none"/>
        <c:tickLblPos val="nextTo"/>
        <c:crossAx val="49436463"/>
        <c:crosses val="autoZero"/>
        <c:auto val="0"/>
        <c:lblOffset val="100"/>
        <c:noMultiLvlLbl val="0"/>
      </c:catAx>
      <c:valAx>
        <c:axId val="4943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191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4775"/>
          <c:y val="0.23375"/>
          <c:w val="0.2635"/>
          <c:h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Total Phosphorus Versus Chlorophyll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125"/>
          <c:w val="0.929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trends'!$B$2</c:f>
              <c:strCache>
                <c:ptCount val="1"/>
                <c:pt idx="0">
                  <c:v>TP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'Res trends'!$A$3:$A$14</c:f>
              <c:strCache/>
            </c:strRef>
          </c:cat>
          <c:val>
            <c:numRef>
              <c:f>'Res trends'!$B$3:$B$14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 trends'!$C$2</c:f>
              <c:strCache>
                <c:ptCount val="1"/>
                <c:pt idx="0">
                  <c:v>Chlorophyll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'Res trends'!$A$3:$A$14</c:f>
              <c:strCache/>
            </c:strRef>
          </c:cat>
          <c:val>
            <c:numRef>
              <c:f>'Res trends'!$C$3:$C$14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74984"/>
        <c:axId val="44930537"/>
      </c:line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44930537"/>
        <c:crosses val="autoZero"/>
        <c:auto val="1"/>
        <c:lblOffset val="100"/>
        <c:noMultiLvlLbl val="0"/>
      </c:catAx>
      <c:valAx>
        <c:axId val="4493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42274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Sediment Metal Loading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"/>
          <c:w val="0.908"/>
          <c:h val="0.831"/>
        </c:manualLayout>
      </c:layout>
      <c:lineChart>
        <c:grouping val="standard"/>
        <c:varyColors val="0"/>
        <c:ser>
          <c:idx val="3"/>
          <c:order val="0"/>
          <c:tx>
            <c:strRef>
              <c:f>'Res trends'!$L$92:$L$93</c:f>
              <c:strCache>
                <c:ptCount val="1"/>
                <c:pt idx="0">
                  <c:v>Total Mercury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trends'!$L$97:$L$101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'Res trends'!$M$92:$M$93</c:f>
              <c:strCache>
                <c:ptCount val="1"/>
                <c:pt idx="0">
                  <c:v>Total Phosphorus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trends'!$M$97:$M$101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21650"/>
        <c:axId val="15494851"/>
      </c:line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4851"/>
        <c:crosses val="autoZero"/>
        <c:auto val="1"/>
        <c:lblOffset val="100"/>
        <c:noMultiLvlLbl val="0"/>
      </c:catAx>
      <c:valAx>
        <c:axId val="1549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25"/>
          <c:y val="0.08825"/>
          <c:w val="0.80925"/>
          <c:h val="0.07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125"/>
          <c:w val="0.897"/>
          <c:h val="0.82075"/>
        </c:manualLayout>
      </c:layout>
      <c:lineChart>
        <c:grouping val="standard"/>
        <c:varyColors val="0"/>
        <c:ser>
          <c:idx val="1"/>
          <c:order val="0"/>
          <c:tx>
            <c:strRef>
              <c:f>'Res trends'!$J$92:$J$93</c:f>
              <c:strCache>
                <c:ptCount val="1"/>
                <c:pt idx="0">
                  <c:v>Total Copper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trends'!$J$97:$J$101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'Res trends'!$K$92:$K$93</c:f>
              <c:strCache>
                <c:ptCount val="1"/>
                <c:pt idx="0">
                  <c:v>Total Lead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trends'!$K$97:$K$101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35932"/>
        <c:axId val="47123389"/>
      </c:lineChart>
      <c:cat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3389"/>
        <c:crosses val="autoZero"/>
        <c:auto val="1"/>
        <c:lblOffset val="100"/>
        <c:noMultiLvlLbl val="0"/>
      </c:catAx>
      <c:valAx>
        <c:axId val="47123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59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0895"/>
          <c:w val="0.79375"/>
          <c:h val="0.0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Watershed 
Nitrate-Nitrogen Trends</a:t>
            </a:r>
          </a:p>
        </c:rich>
      </c:tx>
      <c:layout>
        <c:manualLayout>
          <c:xMode val="factor"/>
          <c:yMode val="factor"/>
          <c:x val="0.02875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525"/>
          <c:w val="0.91875"/>
          <c:h val="0.78025"/>
        </c:manualLayout>
      </c:layout>
      <c:lineChart>
        <c:grouping val="standard"/>
        <c:varyColors val="0"/>
        <c:ser>
          <c:idx val="1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Nutrient!$F$54:$F$65</c:f>
              <c:strCache/>
            </c:strRef>
          </c:cat>
          <c:val>
            <c:numRef>
              <c:f>Nutrient!$B$54:$B$65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Nutrient!$G$54:$G$65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Nutrient!$L$54:$L$65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920648"/>
        <c:axId val="2414921"/>
      </c:lineChart>
      <c:catAx>
        <c:axId val="5992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2414921"/>
        <c:crosses val="autoZero"/>
        <c:auto val="1"/>
        <c:lblOffset val="100"/>
        <c:noMultiLvlLbl val="0"/>
      </c:catAx>
      <c:valAx>
        <c:axId val="2414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99206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845"/>
          <c:y val="0.27575"/>
          <c:w val="0.298"/>
          <c:h val="0.2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Sediment Metal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7975"/>
          <c:w val="0.887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'Res trends'!$I$92:$I$93</c:f>
              <c:strCache>
                <c:ptCount val="1"/>
                <c:pt idx="0">
                  <c:v>Total Cadmium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 trends'!$H$97:$H$101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'Res trends'!$I$97:$I$101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'Res trends'!$N$92:$N$93</c:f>
              <c:strCache>
                <c:ptCount val="1"/>
                <c:pt idx="0">
                  <c:v>Total Selenium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 trends'!$N$97:$N$101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457318"/>
        <c:axId val="58898135"/>
      </c:line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98135"/>
        <c:crosses val="autoZero"/>
        <c:auto val="1"/>
        <c:lblOffset val="100"/>
        <c:noMultiLvlLbl val="0"/>
      </c:catAx>
      <c:valAx>
        <c:axId val="58898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Mg/Kg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573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695"/>
          <c:y val="0.10425"/>
          <c:w val="0.78825"/>
          <c:h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5"/>
          <c:y val="0.17925"/>
          <c:w val="0.836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Loading!$B$2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Loading!$B$3:$B$14</c:f>
              <c:numCache/>
            </c:numRef>
          </c:val>
        </c:ser>
        <c:ser>
          <c:idx val="1"/>
          <c:order val="1"/>
          <c:tx>
            <c:strRef>
              <c:f>Loading!$C$2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Loading!$A$3:$A$14</c:f>
              <c:strCache/>
            </c:strRef>
          </c:cat>
          <c:val>
            <c:numRef>
              <c:f>Loading!$C$3:$C$14</c:f>
              <c:numCache>
                <c:ptCount val="12"/>
                <c:pt idx="0">
                  <c:v>4647.637530479999</c:v>
                </c:pt>
                <c:pt idx="1">
                  <c:v>4789.7578713600005</c:v>
                </c:pt>
                <c:pt idx="2">
                  <c:v>1908.2571606</c:v>
                </c:pt>
                <c:pt idx="3">
                  <c:v>1151.6769340649998</c:v>
                </c:pt>
                <c:pt idx="4">
                  <c:v>15525.848084208003</c:v>
                </c:pt>
                <c:pt idx="5">
                  <c:v>1586.2185158399998</c:v>
                </c:pt>
                <c:pt idx="6">
                  <c:v>625.7074795020001</c:v>
                </c:pt>
                <c:pt idx="7">
                  <c:v>0</c:v>
                </c:pt>
                <c:pt idx="8">
                  <c:v>237.82343326875002</c:v>
                </c:pt>
                <c:pt idx="9">
                  <c:v>36.066060335340005</c:v>
                </c:pt>
                <c:pt idx="10">
                  <c:v>1631.3168854079997</c:v>
                </c:pt>
                <c:pt idx="11">
                  <c:v>2841.2107820565</c:v>
                </c:pt>
              </c:numCache>
            </c:numRef>
          </c:val>
        </c:ser>
        <c:axId val="60321168"/>
        <c:axId val="6019601"/>
      </c:bar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19601"/>
        <c:crosses val="autoZero"/>
        <c:auto val="1"/>
        <c:lblOffset val="100"/>
        <c:noMultiLvlLbl val="0"/>
      </c:catAx>
      <c:valAx>
        <c:axId val="6019601"/>
        <c:scaling>
          <c:orientation val="minMax"/>
          <c:max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Nitrate Loading Pounds/Month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0321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29"/>
          <c:w val="0.22325"/>
          <c:h val="0.16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2002 Chatfield Reservoir
Total Phosphorus Loading [Pounds/Month]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8775"/>
          <c:w val="0.85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Loading!$B$39:$B$50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Loading!$A$39:$A$50</c:f>
              <c:strCache/>
            </c:strRef>
          </c:cat>
          <c:val>
            <c:numRef>
              <c:f>Loading!$C$39:$C$50</c:f>
              <c:numCache/>
            </c:numRef>
          </c:val>
        </c:ser>
        <c:axId val="54176410"/>
        <c:axId val="17825643"/>
      </c:bar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25643"/>
        <c:crosses val="autoZero"/>
        <c:auto val="1"/>
        <c:lblOffset val="100"/>
        <c:noMultiLvlLbl val="0"/>
      </c:catAx>
      <c:valAx>
        <c:axId val="1782564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Total Phosphorus (Pounds/month)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76410"/>
        <c:crossesAt val="1"/>
        <c:crossBetween val="between"/>
        <c:dispUnits/>
        <c:minorUnit val="100"/>
      </c:valAx>
      <c:spPr>
        <a:noFill/>
      </c:spPr>
    </c:plotArea>
    <c:legend>
      <c:legendPos val="r"/>
      <c:layout>
        <c:manualLayout>
          <c:xMode val="edge"/>
          <c:yMode val="edge"/>
          <c:x val="0.18725"/>
          <c:y val="0.28525"/>
          <c:w val="0.271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2003 Chatfield Reservoir 
Total Suspended Solids Loading [Pounds/Month]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215"/>
          <c:w val="0.934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Loading!$B$74</c:f>
              <c:strCache>
                <c:ptCount val="1"/>
                <c:pt idx="0">
                  <c:v>South Platte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Loading!$B$76:$B$87</c:f>
              <c:numCache/>
            </c:numRef>
          </c:val>
        </c:ser>
        <c:ser>
          <c:idx val="1"/>
          <c:order val="1"/>
          <c:tx>
            <c:strRef>
              <c:f>Loading!$C$74</c:f>
              <c:strCache>
                <c:ptCount val="1"/>
                <c:pt idx="0">
                  <c:v>Plum Creek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Loading!$A$76:$A$87</c:f>
              <c:strCache/>
            </c:strRef>
          </c:cat>
          <c:val>
            <c:numRef>
              <c:f>Loading!$C$76:$C$87</c:f>
              <c:numCache/>
            </c:numRef>
          </c:val>
        </c:ser>
        <c:axId val="26213060"/>
        <c:axId val="34590949"/>
      </c:barChart>
      <c:catAx>
        <c:axId val="2621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590949"/>
        <c:crosses val="autoZero"/>
        <c:auto val="1"/>
        <c:lblOffset val="100"/>
        <c:noMultiLvlLbl val="0"/>
      </c:catAx>
      <c:valAx>
        <c:axId val="34590949"/>
        <c:scaling>
          <c:orientation val="minMax"/>
          <c:max val="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Suspended Solids (Pounds/Month)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13060"/>
        <c:crossesAt val="1"/>
        <c:crossBetween val="between"/>
        <c:dispUnits/>
        <c:minorUnit val="10000"/>
      </c:valAx>
      <c:spPr>
        <a:noFill/>
      </c:spPr>
    </c:plotArea>
    <c:legend>
      <c:legendPos val="r"/>
      <c:layout>
        <c:manualLayout>
          <c:xMode val="edge"/>
          <c:yMode val="edge"/>
          <c:x val="0.73225"/>
          <c:y val="0.3875"/>
          <c:w val="0.2137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2002 Chatfield Resrvoir 
Total Suspended Sediments [Pounds/Year]</a:t>
            </a:r>
          </a:p>
        </c:rich>
      </c:tx>
      <c:layout>
        <c:manualLayout>
          <c:xMode val="factor"/>
          <c:yMode val="factor"/>
          <c:x val="-0.0055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1955"/>
          <c:w val="0.8815"/>
          <c:h val="0.54875"/>
        </c:manualLayout>
      </c:layout>
      <c:pie3DChart>
        <c:varyColors val="1"/>
        <c:ser>
          <c:idx val="0"/>
          <c:order val="0"/>
          <c:tx>
            <c:strRef>
              <c:f>Loading!$A$74</c:f>
              <c:strCache>
                <c:ptCount val="1"/>
                <c:pt idx="0">
                  <c:v>TSS</c:v>
                </c:pt>
              </c:strCache>
            </c:strRef>
          </c:tx>
          <c:spPr>
            <a:solidFill>
              <a:srgbClr val="CCFFCC"/>
            </a:solidFill>
          </c:spPr>
          <c:explosion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explosion val="1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Loading!$B$74:$C$74</c:f>
              <c:strCache/>
            </c:strRef>
          </c:cat>
          <c:val>
            <c:numRef>
              <c:f>Loading!$B$88:$C$88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2003 Chatfield Reservoir
 Total Nitrate Loading [70,817 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25"/>
          <c:y val="0.30725"/>
          <c:w val="0.74575"/>
          <c:h val="0.56025"/>
        </c:manualLayout>
      </c:layout>
      <c:pie3DChart>
        <c:varyColors val="1"/>
        <c:ser>
          <c:idx val="0"/>
          <c:order val="0"/>
          <c:tx>
            <c:strRef>
              <c:f>Loading!$H$15</c:f>
              <c:strCache>
                <c:ptCount val="1"/>
                <c:pt idx="0">
                  <c:v>2003 Chatfield Reservoir</c:v>
                </c:pt>
              </c:strCache>
            </c:strRef>
          </c:tx>
          <c:spPr>
            <a:solidFill>
              <a:srgbClr val="CCFFFF"/>
            </a:solidFill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Loading!$B$2:$C$2</c:f>
              <c:strCache/>
            </c:strRef>
          </c:cat>
          <c:val>
            <c:numRef>
              <c:f>Loading!$B$15:$C$15</c:f>
              <c:numCache>
                <c:ptCount val="2"/>
                <c:pt idx="0">
                  <c:v>35835.844552081355</c:v>
                </c:pt>
                <c:pt idx="1">
                  <c:v>34981.520737123596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Chatfield Reservoir 
Total Phosphorus loading [8,429Pounds/Year]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75"/>
          <c:y val="0.26"/>
          <c:w val="0.826"/>
          <c:h val="0.54325"/>
        </c:manualLayout>
      </c:layout>
      <c:pie3DChart>
        <c:varyColors val="1"/>
        <c:ser>
          <c:idx val="0"/>
          <c:order val="0"/>
          <c:tx>
            <c:strRef>
              <c:f>Loading!$A$37</c:f>
              <c:strCache>
                <c:ptCount val="1"/>
                <c:pt idx="0">
                  <c:v>2003 Total Phosphorus loading</c:v>
                </c:pt>
              </c:strCache>
            </c:strRef>
          </c:tx>
          <c:spPr>
            <a:solidFill>
              <a:srgbClr val="CCFFCC"/>
            </a:solidFill>
          </c:spPr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6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Loading!$B$38:$C$38</c:f>
              <c:strCache/>
            </c:strRef>
          </c:cat>
          <c:val>
            <c:numRef>
              <c:f>Loading!$B$51:$C$51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Total Maximum Annual Load
 Total Phosphorus Target in Chatfield Reservoir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375"/>
          <c:w val="0.926"/>
          <c:h val="0.8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Models!$A$22</c:f>
              <c:strCache>
                <c:ptCount val="1"/>
                <c:pt idx="0">
                  <c:v>TMAL Target 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Models!$C$24:$C$32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Models!$D$23</c:f>
              <c:strCache>
                <c:ptCount val="1"/>
                <c:pt idx="0">
                  <c:v>Upper Bound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Models!$B$24:$B$32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Models!$D$24:$D$32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Models!$A$57</c:f>
              <c:strCache>
                <c:ptCount val="1"/>
                <c:pt idx="0">
                  <c:v>Annual TMAL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rgbClr val="FFFF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Models!$B$65:$B$77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Models!$C$65:$C$77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2883086"/>
        <c:axId val="50403455"/>
      </c:scatterChart>
      <c:valAx>
        <c:axId val="42883086"/>
        <c:scaling>
          <c:orientation val="minMax"/>
          <c:max val="4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Reservoir Flow Through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403455"/>
        <c:crosses val="autoZero"/>
        <c:crossBetween val="midCat"/>
        <c:dispUnits/>
        <c:majorUnit val="50000"/>
        <c:minorUnit val="5000"/>
      </c:valAx>
      <c:valAx>
        <c:axId val="504034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Total Phosphorus [Pounds]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883086"/>
        <c:crosses val="autoZero"/>
        <c:crossBetween val="midCat"/>
        <c:dispUnits/>
        <c:majorUnit val="25000"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2035"/>
          <c:w val="0.243"/>
          <c:h val="0.2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Chatfield Reservoir
 Estimated Total  Inflow Volume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125"/>
          <c:w val="0.9312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Models!$B$57:$B$59</c:f>
              <c:strCache>
                <c:ptCount val="1"/>
                <c:pt idx="0">
                  <c:v>Total  Volume acre-ft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Models!$A$60:$A$77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Models!$B$60:$B$77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0977912"/>
        <c:axId val="56148025"/>
      </c:bar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148025"/>
        <c:crosses val="autoZero"/>
        <c:auto val="1"/>
        <c:lblOffset val="100"/>
        <c:noMultiLvlLbl val="0"/>
      </c:catAx>
      <c:valAx>
        <c:axId val="5614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Inflow Volume (Ac-ft/yr)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7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Reservoir 
Average Nitrate Trend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9425"/>
          <c:w val="0.884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Nutrient!$P$51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Nutrient!$P$54:$P$64</c:f>
              <c:strCache/>
            </c:strRef>
          </c:cat>
          <c:val>
            <c:numRef>
              <c:f>Nutrient!$Q$54:$Q$64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734290"/>
        <c:axId val="61390883"/>
      </c:barChart>
      <c:catAx>
        <c:axId val="21734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1390883"/>
        <c:crosses val="autoZero"/>
        <c:auto val="1"/>
        <c:lblOffset val="100"/>
        <c:noMultiLvlLbl val="0"/>
      </c:catAx>
      <c:valAx>
        <c:axId val="61390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342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Watershed 
Total Phosphorus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775"/>
          <c:w val="0.911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Nutrient!$F$54:$F$65</c:f>
              <c:strCache/>
            </c:strRef>
          </c:cat>
          <c:val>
            <c:numRef>
              <c:f>Nutrient!$C$54:$C$65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Nutrient!$H$54:$H$65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Nutrient!$M$54:$M$65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5647036"/>
        <c:axId val="6605597"/>
      </c:lineChart>
      <c:catAx>
        <c:axId val="1564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605597"/>
        <c:crosses val="autoZero"/>
        <c:auto val="1"/>
        <c:lblOffset val="100"/>
        <c:noMultiLvlLbl val="0"/>
      </c:catAx>
      <c:valAx>
        <c:axId val="66055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Total Phosphorus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156470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7525"/>
          <c:y val="0.08475"/>
          <c:w val="0.261"/>
          <c:h val="0.1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2003 Chatfield Reservoir 
Average Total Phosphorus Trend</a:t>
            </a:r>
          </a:p>
        </c:rich>
      </c:tx>
      <c:layout>
        <c:manualLayout>
          <c:xMode val="factor"/>
          <c:yMode val="factor"/>
          <c:x val="0.002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9"/>
          <c:w val="0.894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Nutrient!$R$52</c:f>
              <c:strCache>
                <c:ptCount val="1"/>
                <c:pt idx="0">
                  <c:v>tp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Nutrient!$P$54:$P$64</c:f>
              <c:strCache/>
            </c:strRef>
          </c:cat>
          <c:val>
            <c:numRef>
              <c:f>Nutrient!$R$54:$R$64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450374"/>
        <c:axId val="65291319"/>
      </c:barChart>
      <c:catAx>
        <c:axId val="594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291319"/>
        <c:crosses val="autoZero"/>
        <c:auto val="1"/>
        <c:lblOffset val="100"/>
        <c:noMultiLvlLbl val="0"/>
      </c:catAx>
      <c:valAx>
        <c:axId val="65291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4503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2003 Chatfield Watershed 
Total Suspended Sediment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55"/>
          <c:w val="0.921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Nutrient!$A$51</c:f>
              <c:strCache>
                <c:ptCount val="1"/>
                <c:pt idx="0">
                  <c:v>South Platte Outflow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Nutrient!$D$54:$D$65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Nutrient!$K$51</c:f>
              <c:strCache>
                <c:ptCount val="1"/>
                <c:pt idx="0">
                  <c:v>South Platte River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Nutrient!$F$54:$F$65</c:f>
              <c:strCache/>
            </c:strRef>
          </c:cat>
          <c:val>
            <c:numRef>
              <c:f>Nutrient!$N$54:$N$65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Nutrient!$F$51</c:f>
              <c:strCache>
                <c:ptCount val="1"/>
                <c:pt idx="0">
                  <c:v>Plum Creek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Nutrient!$I$54:$I$65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0750960"/>
        <c:axId val="54105457"/>
      </c:lineChart>
      <c:catAx>
        <c:axId val="5075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4105457"/>
        <c:crosses val="autoZero"/>
        <c:auto val="1"/>
        <c:lblOffset val="100"/>
        <c:noMultiLvlLbl val="0"/>
      </c:catAx>
      <c:valAx>
        <c:axId val="541054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0750960"/>
        <c:crossesAt val="1"/>
        <c:crossBetween val="between"/>
        <c:dispUnits/>
        <c:majorUnit val="10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548"/>
          <c:y val="0.256"/>
          <c:w val="0.218"/>
          <c:h val="0.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2003 Chatfield Reservoir 
Total Suspended Sediment Trend</a:t>
            </a:r>
          </a:p>
        </c:rich>
      </c:tx>
      <c:layout>
        <c:manualLayout>
          <c:xMode val="factor"/>
          <c:yMode val="factor"/>
          <c:x val="0.016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1"/>
          <c:w val="0.898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Nutrient!$P$51</c:f>
              <c:strCache>
                <c:ptCount val="1"/>
                <c:pt idx="0">
                  <c:v>Chatfield Reservoir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Nutrient!$P$54:$P$64</c:f>
              <c:strCache/>
            </c:strRef>
          </c:cat>
          <c:val>
            <c:numRef>
              <c:f>Nutrient!$S$54:$S$64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7187066"/>
        <c:axId val="20465867"/>
      </c:barChart>
      <c:catAx>
        <c:axId val="1718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65867"/>
        <c:crosses val="autoZero"/>
        <c:auto val="1"/>
        <c:lblOffset val="100"/>
        <c:noMultiLvlLbl val="0"/>
      </c:catAx>
      <c:valAx>
        <c:axId val="2046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870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2003 Flow Estimates Chatfield Watershed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15"/>
          <c:w val="0.771"/>
          <c:h val="0.5315"/>
        </c:manualLayout>
      </c:layout>
      <c:pie3DChart>
        <c:varyColors val="1"/>
        <c:ser>
          <c:idx val="0"/>
          <c:order val="0"/>
          <c:tx>
            <c:strRef>
              <c:f>'2003 Flow'!$E$13:$J$13</c:f>
              <c:strCache>
                <c:ptCount val="1"/>
                <c:pt idx="0">
                  <c:v>2003 Flow Estimates Chatfield Watershed</c:v>
                </c:pt>
              </c:strCache>
            </c:strRef>
          </c:tx>
          <c:spPr>
            <a:solidFill>
              <a:srgbClr val="FFFFFF"/>
            </a:solidFill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'2003 Flow'!$F$15:$G$16</c:f>
              <c:multiLvlStrCache/>
            </c:multiLvlStrRef>
          </c:cat>
          <c:val>
            <c:numRef>
              <c:f>'2003 Flow'!$F$30:$G$30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5"/>
          <c:y val="0.8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
1988-2003 Walker's Annual Trophic Prediction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85"/>
          <c:w val="0.9365"/>
          <c:h val="0.77575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cat>
            <c:numRef>
              <c:f>'2003 Walker-carlson'!$Q$2:$AD$2</c:f>
              <c:numCache/>
            </c:numRef>
          </c:cat>
          <c:val>
            <c:numRef>
              <c:f>'2003 Walker-carlson'!$Q$12:$AD$12</c:f>
              <c:numCache/>
            </c:numRef>
          </c:val>
          <c:smooth val="1"/>
        </c:ser>
        <c:marker val="1"/>
        <c:axId val="49975076"/>
        <c:axId val="47122501"/>
      </c:lineChart>
      <c:catAx>
        <c:axId val="4997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22501"/>
        <c:crosses val="autoZero"/>
        <c:auto val="1"/>
        <c:lblOffset val="100"/>
        <c:noMultiLvlLbl val="0"/>
      </c:catAx>
      <c:valAx>
        <c:axId val="4712250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975076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1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0.7935</cdr:y>
    </cdr:from>
    <cdr:to>
      <cdr:x>0.59375</cdr:x>
      <cdr:y>0.858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2886075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Clearer Water</a:t>
          </a:r>
        </a:p>
      </cdr:txBody>
    </cdr:sp>
  </cdr:relSizeAnchor>
  <cdr:relSizeAnchor xmlns:cdr="http://schemas.openxmlformats.org/drawingml/2006/chartDrawing">
    <cdr:from>
      <cdr:x>0.531</cdr:x>
      <cdr:y>0.6195</cdr:y>
    </cdr:from>
    <cdr:to>
      <cdr:x>0.531</cdr:x>
      <cdr:y>0.7935</cdr:y>
    </cdr:to>
    <cdr:sp>
      <cdr:nvSpPr>
        <cdr:cNvPr id="2" name="Line 2"/>
        <cdr:cNvSpPr>
          <a:spLocks/>
        </cdr:cNvSpPr>
      </cdr:nvSpPr>
      <cdr:spPr>
        <a:xfrm>
          <a:off x="3114675" y="2247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32</xdr:row>
      <xdr:rowOff>0</xdr:rowOff>
    </xdr:from>
    <xdr:to>
      <xdr:col>8</xdr:col>
      <xdr:colOff>438150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495425" y="5181600"/>
        <a:ext cx="63150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59</xdr:row>
      <xdr:rowOff>85725</xdr:rowOff>
    </xdr:from>
    <xdr:to>
      <xdr:col>11</xdr:col>
      <xdr:colOff>447675</xdr:colOff>
      <xdr:row>72</xdr:row>
      <xdr:rowOff>38100</xdr:rowOff>
    </xdr:to>
    <xdr:graphicFrame>
      <xdr:nvGraphicFramePr>
        <xdr:cNvPr id="2" name="Chart 2"/>
        <xdr:cNvGraphicFramePr/>
      </xdr:nvGraphicFramePr>
      <xdr:xfrm>
        <a:off x="3905250" y="9639300"/>
        <a:ext cx="5743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485775</xdr:colOff>
      <xdr:row>50</xdr:row>
      <xdr:rowOff>0</xdr:rowOff>
    </xdr:from>
    <xdr:to>
      <xdr:col>2</xdr:col>
      <xdr:colOff>819150</xdr:colOff>
      <xdr:row>51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9875" y="80962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11</xdr:row>
      <xdr:rowOff>38100</xdr:rowOff>
    </xdr:from>
    <xdr:to>
      <xdr:col>13</xdr:col>
      <xdr:colOff>542925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943225" y="1819275"/>
        <a:ext cx="58769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9</xdr:col>
      <xdr:colOff>0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47625" y="161925"/>
        <a:ext cx="52959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17</xdr:col>
      <xdr:colOff>571500</xdr:colOff>
      <xdr:row>15</xdr:row>
      <xdr:rowOff>28575</xdr:rowOff>
    </xdr:to>
    <xdr:graphicFrame>
      <xdr:nvGraphicFramePr>
        <xdr:cNvPr id="2" name="Chart 3"/>
        <xdr:cNvGraphicFramePr/>
      </xdr:nvGraphicFramePr>
      <xdr:xfrm>
        <a:off x="7115175" y="161925"/>
        <a:ext cx="3876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16</xdr:row>
      <xdr:rowOff>133350</xdr:rowOff>
    </xdr:from>
    <xdr:to>
      <xdr:col>8</xdr:col>
      <xdr:colOff>723900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38100" y="2724150"/>
        <a:ext cx="53054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16</xdr:row>
      <xdr:rowOff>28575</xdr:rowOff>
    </xdr:from>
    <xdr:to>
      <xdr:col>18</xdr:col>
      <xdr:colOff>0</xdr:colOff>
      <xdr:row>30</xdr:row>
      <xdr:rowOff>104775</xdr:rowOff>
    </xdr:to>
    <xdr:graphicFrame>
      <xdr:nvGraphicFramePr>
        <xdr:cNvPr id="4" name="Chart 5"/>
        <xdr:cNvGraphicFramePr/>
      </xdr:nvGraphicFramePr>
      <xdr:xfrm>
        <a:off x="7143750" y="2619375"/>
        <a:ext cx="4038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33</xdr:row>
      <xdr:rowOff>133350</xdr:rowOff>
    </xdr:from>
    <xdr:to>
      <xdr:col>9</xdr:col>
      <xdr:colOff>695325</xdr:colOff>
      <xdr:row>49</xdr:row>
      <xdr:rowOff>9525</xdr:rowOff>
    </xdr:to>
    <xdr:graphicFrame>
      <xdr:nvGraphicFramePr>
        <xdr:cNvPr id="5" name="Chart 7"/>
        <xdr:cNvGraphicFramePr/>
      </xdr:nvGraphicFramePr>
      <xdr:xfrm>
        <a:off x="9525" y="5476875"/>
        <a:ext cx="6029325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31</xdr:row>
      <xdr:rowOff>152400</xdr:rowOff>
    </xdr:from>
    <xdr:to>
      <xdr:col>18</xdr:col>
      <xdr:colOff>9525</xdr:colOff>
      <xdr:row>44</xdr:row>
      <xdr:rowOff>152400</xdr:rowOff>
    </xdr:to>
    <xdr:graphicFrame>
      <xdr:nvGraphicFramePr>
        <xdr:cNvPr id="6" name="Chart 8"/>
        <xdr:cNvGraphicFramePr/>
      </xdr:nvGraphicFramePr>
      <xdr:xfrm>
        <a:off x="7134225" y="5172075"/>
        <a:ext cx="40576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32</xdr:row>
      <xdr:rowOff>142875</xdr:rowOff>
    </xdr:from>
    <xdr:to>
      <xdr:col>10</xdr:col>
      <xdr:colOff>180975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2371725" y="5705475"/>
        <a:ext cx="4724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476250</xdr:colOff>
      <xdr:row>33</xdr:row>
      <xdr:rowOff>85725</xdr:rowOff>
    </xdr:from>
    <xdr:to>
      <xdr:col>28</xdr:col>
      <xdr:colOff>38100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1363325" y="5429250"/>
        <a:ext cx="6267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51</xdr:row>
      <xdr:rowOff>19050</xdr:rowOff>
    </xdr:from>
    <xdr:to>
      <xdr:col>28</xdr:col>
      <xdr:colOff>66675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11496675" y="8277225"/>
        <a:ext cx="6162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49</xdr:row>
      <xdr:rowOff>76200</xdr:rowOff>
    </xdr:from>
    <xdr:to>
      <xdr:col>10</xdr:col>
      <xdr:colOff>600075</xdr:colOff>
      <xdr:row>68</xdr:row>
      <xdr:rowOff>0</xdr:rowOff>
    </xdr:to>
    <xdr:graphicFrame>
      <xdr:nvGraphicFramePr>
        <xdr:cNvPr id="3" name="Chart 4"/>
        <xdr:cNvGraphicFramePr/>
      </xdr:nvGraphicFramePr>
      <xdr:xfrm>
        <a:off x="647700" y="8010525"/>
        <a:ext cx="65722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0.8245</cdr:y>
    </cdr:from>
    <cdr:to>
      <cdr:x>0.70225</cdr:x>
      <cdr:y>0.95275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857375"/>
          <a:ext cx="1000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Clear Water</a:t>
          </a:r>
        </a:p>
      </cdr:txBody>
    </cdr:sp>
  </cdr:relSizeAnchor>
  <cdr:relSizeAnchor xmlns:cdr="http://schemas.openxmlformats.org/drawingml/2006/chartDrawing">
    <cdr:from>
      <cdr:x>0.51625</cdr:x>
      <cdr:y>0.4305</cdr:y>
    </cdr:from>
    <cdr:to>
      <cdr:x>0.51625</cdr:x>
      <cdr:y>0.64</cdr:y>
    </cdr:to>
    <cdr:sp>
      <cdr:nvSpPr>
        <cdr:cNvPr id="2" name="Line 2"/>
        <cdr:cNvSpPr>
          <a:spLocks/>
        </cdr:cNvSpPr>
      </cdr:nvSpPr>
      <cdr:spPr>
        <a:xfrm flipH="1">
          <a:off x="2371725" y="971550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0.27025</cdr:y>
    </cdr:from>
    <cdr:to>
      <cdr:x>0.92575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609600"/>
          <a:ext cx="1171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Murky Water</a:t>
          </a:r>
        </a:p>
      </cdr:txBody>
    </cdr:sp>
  </cdr:relSizeAnchor>
  <cdr:relSizeAnchor xmlns:cdr="http://schemas.openxmlformats.org/drawingml/2006/chartDrawing">
    <cdr:from>
      <cdr:x>0.77875</cdr:x>
      <cdr:y>0.3455</cdr:y>
    </cdr:from>
    <cdr:to>
      <cdr:x>0.77875</cdr:x>
      <cdr:y>0.517</cdr:y>
    </cdr:to>
    <cdr:sp>
      <cdr:nvSpPr>
        <cdr:cNvPr id="4" name="Line 4"/>
        <cdr:cNvSpPr>
          <a:spLocks/>
        </cdr:cNvSpPr>
      </cdr:nvSpPr>
      <cdr:spPr>
        <a:xfrm flipV="1">
          <a:off x="3581400" y="77152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142875</xdr:rowOff>
    </xdr:from>
    <xdr:to>
      <xdr:col>11</xdr:col>
      <xdr:colOff>600075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457575" y="142875"/>
        <a:ext cx="4391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16</xdr:row>
      <xdr:rowOff>133350</xdr:rowOff>
    </xdr:from>
    <xdr:to>
      <xdr:col>12</xdr:col>
      <xdr:colOff>19050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2524125" y="2724150"/>
        <a:ext cx="53530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16</xdr:row>
      <xdr:rowOff>28575</xdr:rowOff>
    </xdr:from>
    <xdr:to>
      <xdr:col>19</xdr:col>
      <xdr:colOff>485775</xdr:colOff>
      <xdr:row>34</xdr:row>
      <xdr:rowOff>123825</xdr:rowOff>
    </xdr:to>
    <xdr:graphicFrame>
      <xdr:nvGraphicFramePr>
        <xdr:cNvPr id="3" name="Chart 4"/>
        <xdr:cNvGraphicFramePr/>
      </xdr:nvGraphicFramePr>
      <xdr:xfrm>
        <a:off x="8029575" y="2619375"/>
        <a:ext cx="45815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142875</xdr:colOff>
      <xdr:row>0</xdr:row>
      <xdr:rowOff>142875</xdr:rowOff>
    </xdr:from>
    <xdr:to>
      <xdr:col>19</xdr:col>
      <xdr:colOff>485775</xdr:colOff>
      <xdr:row>14</xdr:row>
      <xdr:rowOff>133350</xdr:rowOff>
    </xdr:to>
    <xdr:graphicFrame>
      <xdr:nvGraphicFramePr>
        <xdr:cNvPr id="4" name="Chart 5"/>
        <xdr:cNvGraphicFramePr/>
      </xdr:nvGraphicFramePr>
      <xdr:xfrm>
        <a:off x="8001000" y="142875"/>
        <a:ext cx="46101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323850</xdr:colOff>
      <xdr:row>42</xdr:row>
      <xdr:rowOff>57150</xdr:rowOff>
    </xdr:from>
    <xdr:to>
      <xdr:col>16</xdr:col>
      <xdr:colOff>19050</xdr:colOff>
      <xdr:row>59</xdr:row>
      <xdr:rowOff>38100</xdr:rowOff>
    </xdr:to>
    <xdr:graphicFrame>
      <xdr:nvGraphicFramePr>
        <xdr:cNvPr id="5" name="Chart 6"/>
        <xdr:cNvGraphicFramePr/>
      </xdr:nvGraphicFramePr>
      <xdr:xfrm>
        <a:off x="3762375" y="6905625"/>
        <a:ext cx="65532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333375</xdr:colOff>
      <xdr:row>61</xdr:row>
      <xdr:rowOff>152400</xdr:rowOff>
    </xdr:from>
    <xdr:to>
      <xdr:col>15</xdr:col>
      <xdr:colOff>123825</xdr:colOff>
      <xdr:row>83</xdr:row>
      <xdr:rowOff>57150</xdr:rowOff>
    </xdr:to>
    <xdr:graphicFrame>
      <xdr:nvGraphicFramePr>
        <xdr:cNvPr id="6" name="Chart 8"/>
        <xdr:cNvGraphicFramePr/>
      </xdr:nvGraphicFramePr>
      <xdr:xfrm>
        <a:off x="3771900" y="10077450"/>
        <a:ext cx="60388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314325</xdr:colOff>
      <xdr:row>105</xdr:row>
      <xdr:rowOff>0</xdr:rowOff>
    </xdr:from>
    <xdr:to>
      <xdr:col>11</xdr:col>
      <xdr:colOff>123825</xdr:colOff>
      <xdr:row>121</xdr:row>
      <xdr:rowOff>85725</xdr:rowOff>
    </xdr:to>
    <xdr:graphicFrame>
      <xdr:nvGraphicFramePr>
        <xdr:cNvPr id="7" name="Chart 9"/>
        <xdr:cNvGraphicFramePr/>
      </xdr:nvGraphicFramePr>
      <xdr:xfrm>
        <a:off x="3143250" y="18288000"/>
        <a:ext cx="4229100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361950</xdr:colOff>
      <xdr:row>105</xdr:row>
      <xdr:rowOff>19050</xdr:rowOff>
    </xdr:from>
    <xdr:to>
      <xdr:col>17</xdr:col>
      <xdr:colOff>485775</xdr:colOff>
      <xdr:row>122</xdr:row>
      <xdr:rowOff>9525</xdr:rowOff>
    </xdr:to>
    <xdr:graphicFrame>
      <xdr:nvGraphicFramePr>
        <xdr:cNvPr id="8" name="Chart 10"/>
        <xdr:cNvGraphicFramePr/>
      </xdr:nvGraphicFramePr>
      <xdr:xfrm>
        <a:off x="7610475" y="18307050"/>
        <a:ext cx="37814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9525</xdr:colOff>
      <xdr:row>105</xdr:row>
      <xdr:rowOff>28575</xdr:rowOff>
    </xdr:from>
    <xdr:to>
      <xdr:col>23</xdr:col>
      <xdr:colOff>419100</xdr:colOff>
      <xdr:row>122</xdr:row>
      <xdr:rowOff>9525</xdr:rowOff>
    </xdr:to>
    <xdr:graphicFrame>
      <xdr:nvGraphicFramePr>
        <xdr:cNvPr id="9" name="Chart 11"/>
        <xdr:cNvGraphicFramePr/>
      </xdr:nvGraphicFramePr>
      <xdr:xfrm>
        <a:off x="11525250" y="18316575"/>
        <a:ext cx="345757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114300</xdr:rowOff>
    </xdr:from>
    <xdr:to>
      <xdr:col>6</xdr:col>
      <xdr:colOff>400050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581275"/>
        <a:ext cx="4695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53</xdr:row>
      <xdr:rowOff>9525</xdr:rowOff>
    </xdr:from>
    <xdr:to>
      <xdr:col>6</xdr:col>
      <xdr:colOff>733425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371475" y="8667750"/>
        <a:ext cx="49720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90</xdr:row>
      <xdr:rowOff>123825</xdr:rowOff>
    </xdr:from>
    <xdr:to>
      <xdr:col>6</xdr:col>
      <xdr:colOff>723900</xdr:colOff>
      <xdr:row>109</xdr:row>
      <xdr:rowOff>57150</xdr:rowOff>
    </xdr:to>
    <xdr:graphicFrame>
      <xdr:nvGraphicFramePr>
        <xdr:cNvPr id="3" name="Chart 4"/>
        <xdr:cNvGraphicFramePr/>
      </xdr:nvGraphicFramePr>
      <xdr:xfrm>
        <a:off x="304800" y="14744700"/>
        <a:ext cx="5029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89</xdr:row>
      <xdr:rowOff>76200</xdr:rowOff>
    </xdr:from>
    <xdr:to>
      <xdr:col>13</xdr:col>
      <xdr:colOff>9525</xdr:colOff>
      <xdr:row>107</xdr:row>
      <xdr:rowOff>123825</xdr:rowOff>
    </xdr:to>
    <xdr:graphicFrame>
      <xdr:nvGraphicFramePr>
        <xdr:cNvPr id="4" name="Chart 9"/>
        <xdr:cNvGraphicFramePr/>
      </xdr:nvGraphicFramePr>
      <xdr:xfrm>
        <a:off x="5505450" y="14535150"/>
        <a:ext cx="370522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714375</xdr:colOff>
      <xdr:row>16</xdr:row>
      <xdr:rowOff>9525</xdr:rowOff>
    </xdr:from>
    <xdr:to>
      <xdr:col>13</xdr:col>
      <xdr:colOff>180975</xdr:colOff>
      <xdr:row>29</xdr:row>
      <xdr:rowOff>47625</xdr:rowOff>
    </xdr:to>
    <xdr:graphicFrame>
      <xdr:nvGraphicFramePr>
        <xdr:cNvPr id="5" name="Chart 10"/>
        <xdr:cNvGraphicFramePr/>
      </xdr:nvGraphicFramePr>
      <xdr:xfrm>
        <a:off x="5324475" y="2638425"/>
        <a:ext cx="405765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53</xdr:row>
      <xdr:rowOff>133350</xdr:rowOff>
    </xdr:from>
    <xdr:to>
      <xdr:col>14</xdr:col>
      <xdr:colOff>95250</xdr:colOff>
      <xdr:row>68</xdr:row>
      <xdr:rowOff>95250</xdr:rowOff>
    </xdr:to>
    <xdr:graphicFrame>
      <xdr:nvGraphicFramePr>
        <xdr:cNvPr id="6" name="Chart 11"/>
        <xdr:cNvGraphicFramePr/>
      </xdr:nvGraphicFramePr>
      <xdr:xfrm>
        <a:off x="5543550" y="8791575"/>
        <a:ext cx="436245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0.5335</cdr:x>
      <cdr:y>0.64775</cdr:y>
    </cdr:from>
    <cdr:to>
      <cdr:x>0.615</cdr:x>
      <cdr:y>0.689</cdr:y>
    </cdr:to>
    <cdr:sp>
      <cdr:nvSpPr>
        <cdr:cNvPr id="1" name="TextBox 2"/>
        <cdr:cNvSpPr txBox="1">
          <a:spLocks noChangeArrowheads="1"/>
        </cdr:cNvSpPr>
      </cdr:nvSpPr>
      <cdr:spPr>
        <a:xfrm flipH="1">
          <a:off x="3362325" y="25336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1999</a:t>
          </a:r>
        </a:p>
      </cdr:txBody>
    </cdr:sp>
  </cdr:relSizeAnchor>
  <cdr:relSizeAnchor xmlns:cdr="http://schemas.openxmlformats.org/drawingml/2006/chartDrawing">
    <cdr:from>
      <cdr:x>0.7605</cdr:x>
      <cdr:y>0.49575</cdr:y>
    </cdr:from>
    <cdr:to>
      <cdr:x>0.82175</cdr:x>
      <cdr:y>0.54675</cdr:y>
    </cdr:to>
    <cdr:sp>
      <cdr:nvSpPr>
        <cdr:cNvPr id="2" name="TextBox 4"/>
        <cdr:cNvSpPr txBox="1">
          <a:spLocks noChangeArrowheads="1"/>
        </cdr:cNvSpPr>
      </cdr:nvSpPr>
      <cdr:spPr>
        <a:xfrm>
          <a:off x="4800600" y="19431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0.6495</cdr:x>
      <cdr:y>0.67175</cdr:y>
    </cdr:from>
    <cdr:to>
      <cdr:x>0.7</cdr:x>
      <cdr:y>0.72</cdr:y>
    </cdr:to>
    <cdr:sp>
      <cdr:nvSpPr>
        <cdr:cNvPr id="3" name="TextBox 5"/>
        <cdr:cNvSpPr txBox="1">
          <a:spLocks noChangeArrowheads="1"/>
        </cdr:cNvSpPr>
      </cdr:nvSpPr>
      <cdr:spPr>
        <a:xfrm>
          <a:off x="4095750" y="262890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1996</a:t>
          </a:r>
        </a:p>
      </cdr:txBody>
    </cdr:sp>
  </cdr:relSizeAnchor>
  <cdr:relSizeAnchor xmlns:cdr="http://schemas.openxmlformats.org/drawingml/2006/chartDrawing">
    <cdr:from>
      <cdr:x>0.73975</cdr:x>
      <cdr:y>0.6895</cdr:y>
    </cdr:from>
    <cdr:to>
      <cdr:x>0.7945</cdr:x>
      <cdr:y>0.73275</cdr:y>
    </cdr:to>
    <cdr:sp>
      <cdr:nvSpPr>
        <cdr:cNvPr id="4" name="TextBox 6"/>
        <cdr:cNvSpPr txBox="1">
          <a:spLocks noChangeArrowheads="1"/>
        </cdr:cNvSpPr>
      </cdr:nvSpPr>
      <cdr:spPr>
        <a:xfrm>
          <a:off x="4667250" y="27051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1997</a:t>
          </a:r>
        </a:p>
      </cdr:txBody>
    </cdr:sp>
  </cdr:relSizeAnchor>
  <cdr:relSizeAnchor xmlns:cdr="http://schemas.openxmlformats.org/drawingml/2006/chartDrawing">
    <cdr:from>
      <cdr:x>0.52275</cdr:x>
      <cdr:y>0.52775</cdr:y>
    </cdr:from>
    <cdr:to>
      <cdr:x>0.599</cdr:x>
      <cdr:y>0.5795</cdr:y>
    </cdr:to>
    <cdr:sp>
      <cdr:nvSpPr>
        <cdr:cNvPr id="5" name="TextBox 8"/>
        <cdr:cNvSpPr txBox="1">
          <a:spLocks noChangeArrowheads="1"/>
        </cdr:cNvSpPr>
      </cdr:nvSpPr>
      <cdr:spPr>
        <a:xfrm flipH="1" flipV="1">
          <a:off x="3295650" y="20669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1998</a:t>
          </a:r>
        </a:p>
      </cdr:txBody>
    </cdr:sp>
  </cdr:relSizeAnchor>
  <cdr:relSizeAnchor xmlns:cdr="http://schemas.openxmlformats.org/drawingml/2006/chartDrawing">
    <cdr:from>
      <cdr:x>0.1125</cdr:x>
      <cdr:y>0.7825</cdr:y>
    </cdr:from>
    <cdr:to>
      <cdr:x>0.16475</cdr:x>
      <cdr:y>0.83725</cdr:y>
    </cdr:to>
    <cdr:sp>
      <cdr:nvSpPr>
        <cdr:cNvPr id="6" name="TextBox 16"/>
        <cdr:cNvSpPr txBox="1">
          <a:spLocks noChangeArrowheads="1"/>
        </cdr:cNvSpPr>
      </cdr:nvSpPr>
      <cdr:spPr>
        <a:xfrm>
          <a:off x="704850" y="30670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2002</a:t>
          </a:r>
        </a:p>
      </cdr:txBody>
    </cdr:sp>
  </cdr:relSizeAnchor>
  <cdr:relSizeAnchor xmlns:cdr="http://schemas.openxmlformats.org/drawingml/2006/chartDrawing">
    <cdr:from>
      <cdr:x>0.73975</cdr:x>
      <cdr:y>0.83725</cdr:y>
    </cdr:from>
    <cdr:to>
      <cdr:x>0.79025</cdr:x>
      <cdr:y>0.87975</cdr:y>
    </cdr:to>
    <cdr:sp>
      <cdr:nvSpPr>
        <cdr:cNvPr id="7" name="TextBox 17"/>
        <cdr:cNvSpPr txBox="1">
          <a:spLocks noChangeArrowheads="1"/>
        </cdr:cNvSpPr>
      </cdr:nvSpPr>
      <cdr:spPr>
        <a:xfrm>
          <a:off x="4667250" y="32766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1991</a:t>
          </a:r>
        </a:p>
      </cdr:txBody>
    </cdr:sp>
  </cdr:relSizeAnchor>
  <cdr:relSizeAnchor xmlns:cdr="http://schemas.openxmlformats.org/drawingml/2006/chartDrawing">
    <cdr:from>
      <cdr:x>0.6305</cdr:x>
      <cdr:y>0.80025</cdr:y>
    </cdr:from>
    <cdr:to>
      <cdr:x>0.681</cdr:x>
      <cdr:y>0.85425</cdr:y>
    </cdr:to>
    <cdr:sp>
      <cdr:nvSpPr>
        <cdr:cNvPr id="8" name="TextBox 18"/>
        <cdr:cNvSpPr txBox="1">
          <a:spLocks noChangeArrowheads="1"/>
        </cdr:cNvSpPr>
      </cdr:nvSpPr>
      <cdr:spPr>
        <a:xfrm>
          <a:off x="3981450" y="313372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1993</a:t>
          </a:r>
        </a:p>
      </cdr:txBody>
    </cdr:sp>
  </cdr:relSizeAnchor>
  <cdr:relSizeAnchor xmlns:cdr="http://schemas.openxmlformats.org/drawingml/2006/chartDrawing">
    <cdr:from>
      <cdr:x>0.2575</cdr:x>
      <cdr:y>0.7895</cdr:y>
    </cdr:from>
    <cdr:to>
      <cdr:x>0.3245</cdr:x>
      <cdr:y>0.83725</cdr:y>
    </cdr:to>
    <cdr:sp>
      <cdr:nvSpPr>
        <cdr:cNvPr id="9" name="TextBox 10"/>
        <cdr:cNvSpPr txBox="1">
          <a:spLocks noChangeArrowheads="1"/>
        </cdr:cNvSpPr>
      </cdr:nvSpPr>
      <cdr:spPr>
        <a:xfrm>
          <a:off x="1619250" y="309562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2001</a:t>
          </a:r>
        </a:p>
      </cdr:txBody>
    </cdr:sp>
  </cdr:relSizeAnchor>
  <cdr:relSizeAnchor xmlns:cdr="http://schemas.openxmlformats.org/drawingml/2006/chartDrawing">
    <cdr:from>
      <cdr:x>0.33375</cdr:x>
      <cdr:y>0.81225</cdr:y>
    </cdr:from>
    <cdr:to>
      <cdr:x>0.39</cdr:x>
      <cdr:y>0.85625</cdr:y>
    </cdr:to>
    <cdr:sp>
      <cdr:nvSpPr>
        <cdr:cNvPr id="10" name="TextBox 3"/>
        <cdr:cNvSpPr txBox="1">
          <a:spLocks noChangeArrowheads="1"/>
        </cdr:cNvSpPr>
      </cdr:nvSpPr>
      <cdr:spPr>
        <a:xfrm>
          <a:off x="2105025" y="31813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2000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workbookViewId="0" topLeftCell="A1">
      <selection activeCell="L36" sqref="L36"/>
    </sheetView>
  </sheetViews>
  <sheetFormatPr defaultColWidth="9.140625" defaultRowHeight="12.75"/>
  <cols>
    <col min="3" max="3" width="14.421875" style="0" bestFit="1" customWidth="1"/>
  </cols>
  <sheetData>
    <row r="2" ht="12.75">
      <c r="B2" t="s">
        <v>133</v>
      </c>
    </row>
    <row r="3" spans="2:3" ht="12.75">
      <c r="B3" t="s">
        <v>131</v>
      </c>
      <c r="C3" t="s">
        <v>132</v>
      </c>
    </row>
    <row r="4" spans="2:3" ht="12.75">
      <c r="B4">
        <v>1988</v>
      </c>
      <c r="C4">
        <v>4.2</v>
      </c>
    </row>
    <row r="5" spans="2:3" ht="12.75">
      <c r="B5">
        <v>1989</v>
      </c>
      <c r="C5">
        <v>6.3</v>
      </c>
    </row>
    <row r="6" spans="2:3" ht="12.75">
      <c r="B6">
        <v>1990</v>
      </c>
      <c r="C6">
        <v>6.3</v>
      </c>
    </row>
    <row r="7" spans="2:3" ht="12.75">
      <c r="B7">
        <v>1991</v>
      </c>
      <c r="C7">
        <v>6.5</v>
      </c>
    </row>
    <row r="8" spans="2:3" ht="12.75">
      <c r="B8">
        <v>1992</v>
      </c>
      <c r="C8">
        <v>4.7</v>
      </c>
    </row>
    <row r="9" spans="2:3" ht="12.75">
      <c r="B9">
        <v>1993</v>
      </c>
      <c r="C9">
        <v>5.6</v>
      </c>
    </row>
    <row r="10" spans="2:3" ht="12.75">
      <c r="B10">
        <v>1994</v>
      </c>
      <c r="C10">
        <v>5.8</v>
      </c>
    </row>
    <row r="11" spans="2:3" ht="12.75">
      <c r="B11">
        <v>1995</v>
      </c>
      <c r="C11">
        <v>5.8</v>
      </c>
    </row>
    <row r="12" spans="2:3" ht="12.75">
      <c r="B12">
        <v>1996</v>
      </c>
      <c r="C12">
        <v>4.5</v>
      </c>
    </row>
    <row r="13" spans="2:3" ht="12.75">
      <c r="B13">
        <v>1997</v>
      </c>
      <c r="C13">
        <v>10.8</v>
      </c>
    </row>
    <row r="14" spans="2:3" ht="12.75">
      <c r="B14">
        <v>1998</v>
      </c>
      <c r="C14">
        <v>8.4</v>
      </c>
    </row>
    <row r="15" spans="2:3" ht="12.75">
      <c r="B15">
        <v>1999</v>
      </c>
      <c r="C15">
        <v>6.1</v>
      </c>
    </row>
    <row r="16" spans="2:3" ht="12.75">
      <c r="B16">
        <v>2000</v>
      </c>
      <c r="C16">
        <v>8</v>
      </c>
    </row>
    <row r="17" spans="2:3" ht="12.75">
      <c r="B17">
        <v>2001</v>
      </c>
      <c r="C17">
        <v>6.9</v>
      </c>
    </row>
    <row r="18" spans="2:3" ht="12.75">
      <c r="B18">
        <v>2002</v>
      </c>
      <c r="C18">
        <v>6.7</v>
      </c>
    </row>
    <row r="19" spans="2:3" ht="12.75">
      <c r="B19">
        <v>2003</v>
      </c>
      <c r="C19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9"/>
  <sheetViews>
    <sheetView workbookViewId="0" topLeftCell="A46">
      <selection activeCell="O59" sqref="O59"/>
    </sheetView>
  </sheetViews>
  <sheetFormatPr defaultColWidth="9.140625" defaultRowHeight="12.75"/>
  <cols>
    <col min="1" max="1" width="6.00390625" style="9" bestFit="1" customWidth="1"/>
    <col min="2" max="2" width="7.28125" style="9" bestFit="1" customWidth="1"/>
    <col min="3" max="3" width="11.140625" style="9" bestFit="1" customWidth="1"/>
    <col min="4" max="4" width="11.00390625" style="9" bestFit="1" customWidth="1"/>
    <col min="5" max="5" width="7.421875" style="9" customWidth="1"/>
    <col min="6" max="6" width="6.57421875" style="9" bestFit="1" customWidth="1"/>
    <col min="7" max="7" width="7.00390625" style="9" bestFit="1" customWidth="1"/>
    <col min="8" max="8" width="12.8515625" style="9" bestFit="1" customWidth="1"/>
    <col min="9" max="9" width="10.8515625" style="9" bestFit="1" customWidth="1"/>
    <col min="10" max="10" width="10.57421875" style="9" customWidth="1"/>
    <col min="11" max="11" width="7.140625" style="9" bestFit="1" customWidth="1"/>
    <col min="12" max="12" width="8.8515625" style="9" bestFit="1" customWidth="1"/>
    <col min="13" max="13" width="12.8515625" style="9" bestFit="1" customWidth="1"/>
    <col min="14" max="14" width="11.00390625" style="9" bestFit="1" customWidth="1"/>
    <col min="15" max="15" width="12.00390625" style="9" customWidth="1"/>
    <col min="16" max="16" width="5.421875" style="9" bestFit="1" customWidth="1"/>
    <col min="17" max="17" width="8.28125" style="9" bestFit="1" customWidth="1"/>
    <col min="18" max="18" width="11.421875" style="9" customWidth="1"/>
    <col min="19" max="19" width="8.421875" style="9" bestFit="1" customWidth="1"/>
    <col min="20" max="16384" width="9.140625" style="9" customWidth="1"/>
  </cols>
  <sheetData>
    <row r="1" spans="1:7" ht="12.75">
      <c r="A1" s="7"/>
      <c r="B1" s="8"/>
      <c r="C1" s="8"/>
      <c r="D1" s="8"/>
      <c r="E1" s="8"/>
      <c r="F1" s="193"/>
      <c r="G1" s="193"/>
    </row>
    <row r="4" spans="2:7" ht="12.75">
      <c r="B4" s="10"/>
      <c r="C4" s="10"/>
      <c r="D4" s="10"/>
      <c r="E4" s="10"/>
      <c r="F4" s="10"/>
      <c r="G4" s="10"/>
    </row>
    <row r="5" spans="2:7" ht="12.75">
      <c r="B5" s="10"/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2.75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C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C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6" ht="12.75">
      <c r="F16" s="11"/>
    </row>
    <row r="17" spans="1:7" ht="12.75">
      <c r="A17" s="7"/>
      <c r="B17" s="7"/>
      <c r="C17" s="7"/>
      <c r="D17" s="7"/>
      <c r="E17" s="7"/>
      <c r="F17" s="8"/>
      <c r="G17" s="8"/>
    </row>
    <row r="32" spans="1:7" ht="12.75">
      <c r="A32" s="7"/>
      <c r="B32" s="7"/>
      <c r="C32" s="7"/>
      <c r="D32" s="7"/>
      <c r="E32" s="7"/>
      <c r="F32" s="8"/>
      <c r="G32" s="8"/>
    </row>
    <row r="35" spans="2:7" ht="12.75">
      <c r="B35" s="10"/>
      <c r="C35" s="10"/>
      <c r="D35" s="10"/>
      <c r="E35" s="10"/>
      <c r="F35" s="10"/>
      <c r="G35" s="2"/>
    </row>
    <row r="36" spans="2:7" ht="12.75">
      <c r="B36" s="10"/>
      <c r="C36" s="10"/>
      <c r="D36" s="10"/>
      <c r="E36" s="10"/>
      <c r="F36" s="10"/>
      <c r="G36" s="2"/>
    </row>
    <row r="37" spans="2:6" ht="12.75">
      <c r="B37" s="10"/>
      <c r="C37" s="10"/>
      <c r="D37" s="10"/>
      <c r="E37" s="10"/>
      <c r="F37" s="10"/>
    </row>
    <row r="38" spans="2:6" ht="12.75">
      <c r="B38" s="10"/>
      <c r="C38" s="10"/>
      <c r="D38" s="10"/>
      <c r="E38" s="10"/>
      <c r="F38" s="10"/>
    </row>
    <row r="39" spans="2:6" ht="12.75">
      <c r="B39" s="10"/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/>
      <c r="C41" s="10"/>
      <c r="D41" s="10"/>
      <c r="E41" s="10"/>
      <c r="F41" s="10"/>
    </row>
    <row r="42" spans="2:6" ht="12.75">
      <c r="B42" s="10"/>
      <c r="C42" s="10"/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7" spans="1:7" ht="12.75">
      <c r="A47" s="7"/>
      <c r="B47" s="7"/>
      <c r="C47" s="7"/>
      <c r="D47" s="7"/>
      <c r="E47" s="7"/>
      <c r="F47" s="8"/>
      <c r="G47" s="8"/>
    </row>
    <row r="50" spans="1:26" ht="12.75">
      <c r="A50" s="35"/>
      <c r="B50" s="35"/>
      <c r="C50" s="126"/>
      <c r="D50" s="127"/>
      <c r="E50" s="126"/>
      <c r="F50" s="127"/>
      <c r="G50" s="127"/>
      <c r="H50" s="35"/>
      <c r="I50" s="35"/>
      <c r="J50" s="35"/>
      <c r="K50" s="36"/>
      <c r="L50" s="35"/>
      <c r="M50" s="35"/>
      <c r="N50" s="65"/>
      <c r="O50" s="35"/>
      <c r="P50" s="126"/>
      <c r="Q50" s="127"/>
      <c r="R50" s="126"/>
      <c r="S50" s="127"/>
      <c r="T50" s="127"/>
      <c r="U50" s="35"/>
      <c r="V50" s="35"/>
      <c r="W50" s="35"/>
      <c r="X50" s="36"/>
      <c r="Y50" s="35"/>
      <c r="Z50" s="35"/>
    </row>
    <row r="51" spans="1:26" ht="16.5">
      <c r="A51" s="192" t="s">
        <v>126</v>
      </c>
      <c r="B51" s="192"/>
      <c r="C51" s="192"/>
      <c r="D51" s="192"/>
      <c r="E51" s="115"/>
      <c r="F51" s="192" t="s">
        <v>79</v>
      </c>
      <c r="G51" s="192"/>
      <c r="H51" s="192"/>
      <c r="I51" s="192"/>
      <c r="J51" s="92"/>
      <c r="K51" s="192" t="s">
        <v>101</v>
      </c>
      <c r="L51" s="192"/>
      <c r="M51" s="192"/>
      <c r="N51" s="192"/>
      <c r="O51" s="65"/>
      <c r="P51" s="192" t="s">
        <v>128</v>
      </c>
      <c r="Q51" s="192"/>
      <c r="R51" s="192"/>
      <c r="S51" s="192"/>
      <c r="T51" s="65"/>
      <c r="U51" s="65"/>
      <c r="V51" s="65"/>
      <c r="W51" s="65"/>
      <c r="X51" s="65"/>
      <c r="Y51" s="65"/>
      <c r="Z51" s="65"/>
    </row>
    <row r="52" spans="1:19" ht="30">
      <c r="A52" s="121"/>
      <c r="B52" s="121" t="s">
        <v>12</v>
      </c>
      <c r="C52" s="121" t="s">
        <v>141</v>
      </c>
      <c r="D52" s="135" t="s">
        <v>127</v>
      </c>
      <c r="E52" s="121"/>
      <c r="F52" s="166"/>
      <c r="G52" s="167" t="s">
        <v>12</v>
      </c>
      <c r="H52" s="167" t="s">
        <v>141</v>
      </c>
      <c r="I52" s="168" t="s">
        <v>127</v>
      </c>
      <c r="J52" s="75"/>
      <c r="K52" s="115"/>
      <c r="L52" s="124" t="s">
        <v>12</v>
      </c>
      <c r="M52" s="115" t="s">
        <v>141</v>
      </c>
      <c r="N52" s="135" t="s">
        <v>127</v>
      </c>
      <c r="P52" s="179"/>
      <c r="Q52" s="180" t="s">
        <v>129</v>
      </c>
      <c r="R52" s="180" t="s">
        <v>141</v>
      </c>
      <c r="S52" s="181" t="s">
        <v>140</v>
      </c>
    </row>
    <row r="53" spans="1:26" ht="16.5">
      <c r="A53" s="122" t="s">
        <v>88</v>
      </c>
      <c r="B53" s="122" t="s">
        <v>138</v>
      </c>
      <c r="C53" s="122" t="s">
        <v>138</v>
      </c>
      <c r="D53" s="122" t="s">
        <v>138</v>
      </c>
      <c r="E53" s="121"/>
      <c r="F53" s="169" t="s">
        <v>88</v>
      </c>
      <c r="G53" s="122" t="s">
        <v>138</v>
      </c>
      <c r="H53" s="122" t="s">
        <v>138</v>
      </c>
      <c r="I53" s="170" t="s">
        <v>138</v>
      </c>
      <c r="J53" s="75"/>
      <c r="K53" s="115" t="s">
        <v>88</v>
      </c>
      <c r="L53" s="122" t="s">
        <v>138</v>
      </c>
      <c r="M53" s="122" t="s">
        <v>138</v>
      </c>
      <c r="N53" s="122" t="s">
        <v>138</v>
      </c>
      <c r="Q53" s="122" t="s">
        <v>138</v>
      </c>
      <c r="R53" s="122" t="s">
        <v>138</v>
      </c>
      <c r="S53" s="122" t="s">
        <v>138</v>
      </c>
      <c r="V53" s="10"/>
      <c r="W53" s="10"/>
      <c r="X53" s="10"/>
      <c r="Y53" s="10"/>
      <c r="Z53" s="16"/>
    </row>
    <row r="54" spans="1:26" ht="16.5">
      <c r="A54" s="123" t="s">
        <v>78</v>
      </c>
      <c r="B54" s="9">
        <v>0.02</v>
      </c>
      <c r="C54" s="9">
        <v>0.04</v>
      </c>
      <c r="D54" s="9">
        <v>0</v>
      </c>
      <c r="E54" s="128"/>
      <c r="F54" s="117" t="s">
        <v>78</v>
      </c>
      <c r="G54" s="9">
        <v>1.45</v>
      </c>
      <c r="H54" s="9">
        <v>0.03</v>
      </c>
      <c r="I54" s="9">
        <v>8</v>
      </c>
      <c r="J54" s="75"/>
      <c r="K54" s="117" t="s">
        <v>78</v>
      </c>
      <c r="L54" s="9">
        <v>0.44</v>
      </c>
      <c r="M54" s="9">
        <v>0.04</v>
      </c>
      <c r="N54" s="9">
        <v>0</v>
      </c>
      <c r="P54" s="125" t="s">
        <v>78</v>
      </c>
      <c r="Q54">
        <v>0.4</v>
      </c>
      <c r="R54">
        <v>20</v>
      </c>
      <c r="S54">
        <v>2</v>
      </c>
      <c r="T54" s="16"/>
      <c r="U54" s="16"/>
      <c r="V54" s="10"/>
      <c r="W54" s="10"/>
      <c r="X54" s="10"/>
      <c r="Y54" s="10"/>
      <c r="Z54" s="16"/>
    </row>
    <row r="55" spans="1:26" ht="16.5">
      <c r="A55" s="123" t="s">
        <v>0</v>
      </c>
      <c r="B55" s="9">
        <v>0.01</v>
      </c>
      <c r="C55" s="9">
        <v>0.02</v>
      </c>
      <c r="D55" s="9">
        <v>0</v>
      </c>
      <c r="E55" s="128"/>
      <c r="F55" s="117" t="s">
        <v>0</v>
      </c>
      <c r="G55" s="9">
        <v>1.44</v>
      </c>
      <c r="H55" s="9">
        <v>0.04</v>
      </c>
      <c r="I55" s="9">
        <v>6</v>
      </c>
      <c r="J55" s="75"/>
      <c r="K55" s="117" t="s">
        <v>0</v>
      </c>
      <c r="L55" s="9">
        <v>0.91</v>
      </c>
      <c r="M55" s="9">
        <v>0.04</v>
      </c>
      <c r="N55" s="9">
        <v>6</v>
      </c>
      <c r="P55" s="125" t="s">
        <v>0</v>
      </c>
      <c r="Q55">
        <v>0.4</v>
      </c>
      <c r="R55">
        <v>20</v>
      </c>
      <c r="S55">
        <v>0</v>
      </c>
      <c r="T55" s="16"/>
      <c r="U55" s="16"/>
      <c r="V55" s="10"/>
      <c r="W55" s="10"/>
      <c r="X55" s="10"/>
      <c r="Y55" s="10"/>
      <c r="Z55" s="16"/>
    </row>
    <row r="56" spans="1:26" ht="16.5">
      <c r="A56" s="123" t="s">
        <v>1</v>
      </c>
      <c r="B56" s="9">
        <v>0.03</v>
      </c>
      <c r="C56" s="9">
        <v>0.005</v>
      </c>
      <c r="D56" s="9">
        <v>0</v>
      </c>
      <c r="E56" s="129"/>
      <c r="F56" s="117" t="s">
        <v>1</v>
      </c>
      <c r="G56" s="9">
        <v>1.14</v>
      </c>
      <c r="H56" s="9">
        <v>0.09</v>
      </c>
      <c r="I56" s="9">
        <v>34</v>
      </c>
      <c r="J56" s="75"/>
      <c r="K56" s="117" t="s">
        <v>1</v>
      </c>
      <c r="L56" s="9">
        <v>0.94</v>
      </c>
      <c r="M56" s="9">
        <v>0.02</v>
      </c>
      <c r="N56" s="9">
        <v>0</v>
      </c>
      <c r="P56" s="125" t="s">
        <v>1</v>
      </c>
      <c r="Q56">
        <v>0.4</v>
      </c>
      <c r="R56">
        <v>5</v>
      </c>
      <c r="S56">
        <v>4</v>
      </c>
      <c r="T56" s="16"/>
      <c r="U56" s="16"/>
      <c r="V56" s="10"/>
      <c r="W56" s="10"/>
      <c r="X56" s="10"/>
      <c r="Y56" s="10"/>
      <c r="Z56" s="16"/>
    </row>
    <row r="57" spans="1:26" ht="16.5">
      <c r="A57" s="123" t="s">
        <v>2</v>
      </c>
      <c r="B57" s="9">
        <v>0.064</v>
      </c>
      <c r="C57" s="9">
        <v>0.021</v>
      </c>
      <c r="D57" s="9">
        <v>9</v>
      </c>
      <c r="E57" s="128"/>
      <c r="F57" s="117" t="s">
        <v>2</v>
      </c>
      <c r="G57" s="9">
        <v>0.241</v>
      </c>
      <c r="H57" s="9">
        <v>0.112</v>
      </c>
      <c r="I57" s="9">
        <v>75</v>
      </c>
      <c r="J57" s="75"/>
      <c r="K57" s="117" t="s">
        <v>2</v>
      </c>
      <c r="L57" s="9">
        <v>0.543</v>
      </c>
      <c r="M57" s="9">
        <v>0.022</v>
      </c>
      <c r="N57" s="9">
        <v>10</v>
      </c>
      <c r="P57" s="125" t="s">
        <v>2</v>
      </c>
      <c r="Q57">
        <v>0.43</v>
      </c>
      <c r="R57">
        <v>23</v>
      </c>
      <c r="S57">
        <v>12.5</v>
      </c>
      <c r="V57" s="10"/>
      <c r="W57" s="10"/>
      <c r="X57" s="10"/>
      <c r="Y57" s="10"/>
      <c r="Z57" s="16"/>
    </row>
    <row r="58" spans="1:26" ht="16.5">
      <c r="A58" s="123" t="s">
        <v>3</v>
      </c>
      <c r="B58" s="9">
        <v>0.129</v>
      </c>
      <c r="C58" s="9">
        <v>0.033</v>
      </c>
      <c r="D58" s="9">
        <v>0</v>
      </c>
      <c r="E58" s="129"/>
      <c r="F58" s="117" t="s">
        <v>3</v>
      </c>
      <c r="G58" s="9">
        <v>0.527</v>
      </c>
      <c r="H58" s="9">
        <v>0.112</v>
      </c>
      <c r="I58" s="9">
        <v>51</v>
      </c>
      <c r="J58" s="75"/>
      <c r="K58" s="117" t="s">
        <v>3</v>
      </c>
      <c r="L58" s="9">
        <v>0.223</v>
      </c>
      <c r="M58" s="9">
        <v>0.019</v>
      </c>
      <c r="N58" s="9">
        <v>0</v>
      </c>
      <c r="P58" s="125" t="s">
        <v>3</v>
      </c>
      <c r="Q58">
        <v>0.52</v>
      </c>
      <c r="R58">
        <v>22</v>
      </c>
      <c r="S58">
        <v>0</v>
      </c>
      <c r="V58" s="10"/>
      <c r="W58" s="10"/>
      <c r="X58" s="10"/>
      <c r="Y58" s="10"/>
      <c r="Z58" s="16"/>
    </row>
    <row r="59" spans="1:26" ht="16.5">
      <c r="A59" s="123" t="s">
        <v>4</v>
      </c>
      <c r="B59" s="9">
        <v>0.036</v>
      </c>
      <c r="C59" s="9">
        <v>0.046</v>
      </c>
      <c r="D59" s="9">
        <v>5</v>
      </c>
      <c r="E59" s="129"/>
      <c r="F59" s="117" t="s">
        <v>4</v>
      </c>
      <c r="G59" s="9">
        <v>0.612</v>
      </c>
      <c r="H59" s="9">
        <v>0.069</v>
      </c>
      <c r="I59" s="9">
        <v>25</v>
      </c>
      <c r="J59" s="75"/>
      <c r="K59" s="117" t="s">
        <v>4</v>
      </c>
      <c r="L59" s="9">
        <v>0.261</v>
      </c>
      <c r="M59" s="9">
        <v>0.036</v>
      </c>
      <c r="N59" s="9">
        <v>37</v>
      </c>
      <c r="P59" s="125" t="s">
        <v>4</v>
      </c>
      <c r="Q59">
        <v>0.48</v>
      </c>
      <c r="R59">
        <v>36</v>
      </c>
      <c r="S59">
        <v>4.4</v>
      </c>
      <c r="V59" s="10"/>
      <c r="W59" s="10"/>
      <c r="X59" s="10"/>
      <c r="Y59" s="10"/>
      <c r="Z59" s="16"/>
    </row>
    <row r="60" spans="1:19" ht="16.5">
      <c r="A60" s="123" t="s">
        <v>5</v>
      </c>
      <c r="B60" s="9">
        <v>0.034</v>
      </c>
      <c r="C60" s="9">
        <v>0.066</v>
      </c>
      <c r="D60" s="9">
        <v>9</v>
      </c>
      <c r="E60" s="129"/>
      <c r="F60" s="117" t="s">
        <v>5</v>
      </c>
      <c r="G60" s="9">
        <v>0.534</v>
      </c>
      <c r="H60" s="9">
        <v>0.062</v>
      </c>
      <c r="I60" s="9">
        <v>7</v>
      </c>
      <c r="J60" s="75"/>
      <c r="K60" s="117" t="s">
        <v>5</v>
      </c>
      <c r="L60" s="9">
        <v>0.285</v>
      </c>
      <c r="M60" s="9">
        <v>0.018</v>
      </c>
      <c r="N60" s="9">
        <v>6</v>
      </c>
      <c r="P60" s="125" t="s">
        <v>5</v>
      </c>
      <c r="Q60">
        <v>0.46</v>
      </c>
      <c r="R60">
        <v>34</v>
      </c>
      <c r="S60">
        <v>6</v>
      </c>
    </row>
    <row r="61" spans="1:19" ht="16.5">
      <c r="A61" s="123" t="s">
        <v>6</v>
      </c>
      <c r="B61" s="9">
        <v>0.005</v>
      </c>
      <c r="C61" s="9">
        <v>0.039</v>
      </c>
      <c r="D61" s="9">
        <v>21</v>
      </c>
      <c r="E61" s="128"/>
      <c r="F61" s="117" t="s">
        <v>6</v>
      </c>
      <c r="G61" s="9">
        <v>0</v>
      </c>
      <c r="H61" s="9">
        <v>0</v>
      </c>
      <c r="I61" s="9">
        <v>0</v>
      </c>
      <c r="J61" s="75"/>
      <c r="K61" s="117" t="s">
        <v>6</v>
      </c>
      <c r="L61" s="9">
        <v>0.254</v>
      </c>
      <c r="M61" s="9">
        <v>0.046</v>
      </c>
      <c r="N61" s="9">
        <v>26</v>
      </c>
      <c r="P61" s="125" t="s">
        <v>6</v>
      </c>
      <c r="Q61">
        <v>0.37</v>
      </c>
      <c r="R61">
        <v>37</v>
      </c>
      <c r="S61">
        <v>16</v>
      </c>
    </row>
    <row r="62" spans="1:19" ht="16.5">
      <c r="A62" s="123" t="s">
        <v>7</v>
      </c>
      <c r="B62" s="9">
        <v>0</v>
      </c>
      <c r="C62" s="9">
        <v>0.043</v>
      </c>
      <c r="D62" s="9">
        <v>16</v>
      </c>
      <c r="E62" s="129"/>
      <c r="F62" s="117" t="s">
        <v>7</v>
      </c>
      <c r="G62" s="9">
        <v>0.675</v>
      </c>
      <c r="H62" s="9">
        <v>0.058</v>
      </c>
      <c r="I62" s="9">
        <v>21</v>
      </c>
      <c r="J62" s="74"/>
      <c r="K62" s="117" t="s">
        <v>7</v>
      </c>
      <c r="L62" s="9">
        <v>0.564</v>
      </c>
      <c r="M62" s="9">
        <v>0.1205</v>
      </c>
      <c r="N62" s="9">
        <v>42</v>
      </c>
      <c r="P62" s="125" t="s">
        <v>7</v>
      </c>
      <c r="Q62">
        <v>0.504</v>
      </c>
      <c r="R62">
        <v>42</v>
      </c>
      <c r="S62">
        <v>16</v>
      </c>
    </row>
    <row r="63" spans="1:27" ht="16.5">
      <c r="A63" s="123" t="s">
        <v>8</v>
      </c>
      <c r="B63" s="9">
        <v>0</v>
      </c>
      <c r="C63" s="9">
        <v>0.032</v>
      </c>
      <c r="D63" s="9">
        <v>14</v>
      </c>
      <c r="E63" s="128"/>
      <c r="F63" s="117" t="s">
        <v>8</v>
      </c>
      <c r="G63" s="9">
        <v>0.399</v>
      </c>
      <c r="H63" s="9">
        <v>0.03</v>
      </c>
      <c r="I63" s="9">
        <v>14</v>
      </c>
      <c r="J63" s="32"/>
      <c r="K63" s="117" t="s">
        <v>8</v>
      </c>
      <c r="L63" s="9">
        <v>0.344</v>
      </c>
      <c r="M63" s="9">
        <v>0.021</v>
      </c>
      <c r="N63" s="9">
        <v>12</v>
      </c>
      <c r="O63" s="29"/>
      <c r="P63" s="125" t="s">
        <v>8</v>
      </c>
      <c r="Q63">
        <v>0.493</v>
      </c>
      <c r="R63">
        <v>40</v>
      </c>
      <c r="S63">
        <v>15</v>
      </c>
      <c r="T63" s="34"/>
      <c r="U63" s="32"/>
      <c r="V63" s="32"/>
      <c r="W63" s="32"/>
      <c r="X63" s="32"/>
      <c r="Y63" s="35"/>
      <c r="Z63" s="35"/>
      <c r="AA63" s="65"/>
    </row>
    <row r="64" spans="1:27" ht="16.5">
      <c r="A64" s="123" t="s">
        <v>9</v>
      </c>
      <c r="B64" s="9">
        <v>0.053</v>
      </c>
      <c r="C64" s="9">
        <v>0.021</v>
      </c>
      <c r="D64" s="9">
        <v>9</v>
      </c>
      <c r="E64" s="129"/>
      <c r="F64" s="117" t="s">
        <v>9</v>
      </c>
      <c r="G64" s="9">
        <v>2.098</v>
      </c>
      <c r="H64" s="9">
        <v>0.108</v>
      </c>
      <c r="I64" s="9">
        <v>61</v>
      </c>
      <c r="J64" s="35"/>
      <c r="K64" s="117" t="s">
        <v>9</v>
      </c>
      <c r="L64" s="9">
        <v>0.312</v>
      </c>
      <c r="M64" s="9">
        <v>0.024</v>
      </c>
      <c r="N64" s="9">
        <v>14</v>
      </c>
      <c r="O64" s="35"/>
      <c r="P64" s="125" t="s">
        <v>9</v>
      </c>
      <c r="Q64">
        <v>0.55</v>
      </c>
      <c r="R64">
        <v>49</v>
      </c>
      <c r="S64">
        <v>14</v>
      </c>
      <c r="T64" s="127"/>
      <c r="U64" s="35"/>
      <c r="V64" s="35"/>
      <c r="W64" s="35"/>
      <c r="X64" s="36"/>
      <c r="Y64" s="35"/>
      <c r="Z64" s="35"/>
      <c r="AA64" s="65"/>
    </row>
    <row r="65" spans="1:27" ht="16.5">
      <c r="A65" s="123" t="s">
        <v>10</v>
      </c>
      <c r="B65" s="9">
        <v>0.097</v>
      </c>
      <c r="C65" s="9">
        <v>0.022</v>
      </c>
      <c r="D65" s="9">
        <v>5</v>
      </c>
      <c r="E65" s="129"/>
      <c r="F65" s="117" t="s">
        <v>10</v>
      </c>
      <c r="G65" s="9">
        <v>2.045</v>
      </c>
      <c r="H65" s="9">
        <v>0.079</v>
      </c>
      <c r="I65" s="9">
        <v>33</v>
      </c>
      <c r="J65" s="73"/>
      <c r="K65" s="117" t="s">
        <v>10</v>
      </c>
      <c r="L65" s="9">
        <v>1.207</v>
      </c>
      <c r="M65" s="9">
        <v>0.091</v>
      </c>
      <c r="N65" s="9">
        <v>5</v>
      </c>
      <c r="O65" s="29"/>
      <c r="P65" s="125" t="s">
        <v>10</v>
      </c>
      <c r="Q65">
        <v>0.45</v>
      </c>
      <c r="R65">
        <v>49</v>
      </c>
      <c r="S65">
        <v>10</v>
      </c>
      <c r="V65" s="10"/>
      <c r="W65" s="10"/>
      <c r="X65" s="10"/>
      <c r="Y65" s="172"/>
      <c r="Z65" s="65"/>
      <c r="AA65" s="65"/>
    </row>
    <row r="66" spans="1:26" ht="16.5">
      <c r="A66" s="132" t="s">
        <v>139</v>
      </c>
      <c r="B66" s="133">
        <f>AVERAGE(B54:B65)</f>
        <v>0.03983333333333333</v>
      </c>
      <c r="C66" s="133">
        <f>AVERAGE(C54:C65)</f>
        <v>0.03233333333333333</v>
      </c>
      <c r="D66" s="133">
        <f>AVERAGE(D54:D65)</f>
        <v>7.333333333333333</v>
      </c>
      <c r="E66" s="163"/>
      <c r="F66" s="35" t="s">
        <v>139</v>
      </c>
      <c r="G66" s="171">
        <f>AVERAGE(G54:G65)</f>
        <v>0.9300833333333333</v>
      </c>
      <c r="H66" s="171">
        <f>AVERAGE(H54:H65)</f>
        <v>0.06583333333333334</v>
      </c>
      <c r="I66" s="171">
        <f>AVERAGE(I54:I65)</f>
        <v>27.916666666666668</v>
      </c>
      <c r="J66" s="73"/>
      <c r="K66" s="132" t="s">
        <v>139</v>
      </c>
      <c r="L66" s="133">
        <f>AVERAGE(L54:L65)</f>
        <v>0.5235833333333334</v>
      </c>
      <c r="M66" s="133">
        <f>AVERAGE(M54:M65)</f>
        <v>0.04145833333333334</v>
      </c>
      <c r="N66" s="133">
        <f>AVERAGE(N54:N65)</f>
        <v>13.166666666666666</v>
      </c>
      <c r="O66" s="29"/>
      <c r="P66" s="125" t="s">
        <v>139</v>
      </c>
      <c r="Q66" s="138">
        <f>AVERAGE(Q54:Q65)</f>
        <v>0.45475000000000004</v>
      </c>
      <c r="R66" s="138">
        <f>AVERAGE(R54:R65)</f>
        <v>31.416666666666668</v>
      </c>
      <c r="S66" s="138">
        <f>AVERAGE(S54:S65)</f>
        <v>8.325000000000001</v>
      </c>
      <c r="V66" s="10"/>
      <c r="W66" s="10"/>
      <c r="X66" s="10"/>
      <c r="Y66" s="10"/>
      <c r="Z66" s="16"/>
    </row>
    <row r="67" spans="5:19" ht="12.75" customHeight="1" hidden="1">
      <c r="E67" s="130"/>
      <c r="F67" s="130"/>
      <c r="G67" s="130"/>
      <c r="I67" s="65"/>
      <c r="J67" s="35"/>
      <c r="K67" s="36"/>
      <c r="L67" s="35"/>
      <c r="M67" s="35"/>
      <c r="N67" s="55"/>
      <c r="O67" s="55"/>
      <c r="P67" s="55"/>
      <c r="Q67" s="52"/>
      <c r="R67" s="51"/>
      <c r="S67" s="6"/>
    </row>
    <row r="68" spans="5:19" ht="12.75">
      <c r="E68" s="131"/>
      <c r="F68" s="131"/>
      <c r="G68" s="131"/>
      <c r="I68" s="65"/>
      <c r="J68" s="156"/>
      <c r="K68" s="92"/>
      <c r="L68" s="91"/>
      <c r="M68" s="91"/>
      <c r="N68" s="53"/>
      <c r="O68" s="54"/>
      <c r="P68" s="53"/>
      <c r="Q68" s="53"/>
      <c r="R68" s="53"/>
      <c r="S68" s="6"/>
    </row>
    <row r="69" spans="1:68" ht="12.75" customHeight="1">
      <c r="A69" s="69"/>
      <c r="B69" s="70"/>
      <c r="C69" s="71"/>
      <c r="D69" s="71"/>
      <c r="E69" s="71"/>
      <c r="F69" s="71"/>
      <c r="G69" s="71"/>
      <c r="H69" s="73"/>
      <c r="I69" s="91"/>
      <c r="J69" s="156"/>
      <c r="K69" s="92"/>
      <c r="L69" s="91"/>
      <c r="M69" s="91"/>
      <c r="N69" s="55"/>
      <c r="O69" s="54"/>
      <c r="P69" s="65"/>
      <c r="Q69" s="65"/>
      <c r="R69" s="65"/>
      <c r="S69" s="65"/>
      <c r="T69" s="65"/>
      <c r="U69" s="65"/>
      <c r="V69" s="172"/>
      <c r="W69" s="172"/>
      <c r="X69" s="172"/>
      <c r="Y69" s="172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</row>
    <row r="70" spans="1:68" ht="12.75" customHeight="1">
      <c r="A70" s="69"/>
      <c r="B70" s="70"/>
      <c r="C70" s="71"/>
      <c r="D70" s="71"/>
      <c r="E70" s="71"/>
      <c r="F70" s="71"/>
      <c r="G70" s="71"/>
      <c r="H70" s="73"/>
      <c r="I70" s="91"/>
      <c r="J70" s="156"/>
      <c r="K70" s="92"/>
      <c r="L70" s="91"/>
      <c r="M70" s="91"/>
      <c r="N70" s="55"/>
      <c r="O70" s="54"/>
      <c r="P70" s="65"/>
      <c r="Q70" s="65"/>
      <c r="R70" s="65"/>
      <c r="S70" s="65"/>
      <c r="T70" s="65"/>
      <c r="U70" s="65"/>
      <c r="V70" s="172"/>
      <c r="W70" s="172"/>
      <c r="X70" s="172"/>
      <c r="Y70" s="172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</row>
    <row r="71" spans="5:68" ht="12.75" customHeight="1">
      <c r="E71" s="115"/>
      <c r="F71" s="115"/>
      <c r="G71" s="115"/>
      <c r="H71" s="116"/>
      <c r="I71" s="73"/>
      <c r="J71" s="74"/>
      <c r="K71" s="92"/>
      <c r="L71" s="91"/>
      <c r="M71" s="91"/>
      <c r="N71" s="55"/>
      <c r="O71" s="54"/>
      <c r="P71" s="65"/>
      <c r="Q71" s="65"/>
      <c r="R71" s="65"/>
      <c r="S71" s="65"/>
      <c r="T71" s="65"/>
      <c r="U71" s="65"/>
      <c r="V71" s="172"/>
      <c r="W71" s="172"/>
      <c r="X71" s="172"/>
      <c r="Y71" s="172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</row>
    <row r="72" spans="5:68" ht="16.5">
      <c r="E72" s="115"/>
      <c r="F72" s="115"/>
      <c r="G72" s="115"/>
      <c r="J72" s="74"/>
      <c r="K72" s="92"/>
      <c r="L72" s="156"/>
      <c r="M72" s="91"/>
      <c r="N72" s="53"/>
      <c r="O72" s="54"/>
      <c r="P72" s="65"/>
      <c r="Q72" s="65"/>
      <c r="R72" s="65"/>
      <c r="S72" s="65"/>
      <c r="T72" s="65"/>
      <c r="U72" s="65"/>
      <c r="V72" s="172"/>
      <c r="W72" s="172"/>
      <c r="X72" s="172"/>
      <c r="Y72" s="172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</row>
    <row r="73" spans="5:68" ht="16.5">
      <c r="E73" s="115"/>
      <c r="F73" s="115"/>
      <c r="G73" s="115"/>
      <c r="J73" s="74"/>
      <c r="K73" s="92"/>
      <c r="L73" s="91"/>
      <c r="M73" s="91"/>
      <c r="N73" s="157"/>
      <c r="O73" s="54"/>
      <c r="P73" s="158"/>
      <c r="Q73" s="158"/>
      <c r="R73" s="158"/>
      <c r="S73" s="158"/>
      <c r="T73" s="158"/>
      <c r="U73" s="158"/>
      <c r="V73" s="172"/>
      <c r="W73" s="172"/>
      <c r="X73" s="172"/>
      <c r="Y73" s="172"/>
      <c r="Z73" s="158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</row>
    <row r="74" spans="5:68" ht="16.5">
      <c r="E74" s="115"/>
      <c r="F74" s="115"/>
      <c r="G74" s="115"/>
      <c r="H74" s="65"/>
      <c r="I74" s="65"/>
      <c r="J74" s="156"/>
      <c r="K74" s="92"/>
      <c r="L74" s="91"/>
      <c r="M74" s="91"/>
      <c r="N74" s="157"/>
      <c r="O74" s="54"/>
      <c r="P74" s="158"/>
      <c r="Q74" s="158"/>
      <c r="R74" s="158"/>
      <c r="S74" s="158"/>
      <c r="T74" s="158"/>
      <c r="U74" s="158"/>
      <c r="V74" s="172"/>
      <c r="W74" s="172"/>
      <c r="X74" s="172"/>
      <c r="Y74" s="172"/>
      <c r="Z74" s="158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</row>
    <row r="75" spans="5:68" ht="12.75">
      <c r="E75" s="128"/>
      <c r="F75" s="128"/>
      <c r="G75" s="129"/>
      <c r="H75" s="65"/>
      <c r="I75" s="65"/>
      <c r="J75" s="159"/>
      <c r="K75" s="92"/>
      <c r="L75" s="91"/>
      <c r="M75" s="91"/>
      <c r="N75" s="35"/>
      <c r="O75" s="54"/>
      <c r="P75" s="65"/>
      <c r="Q75" s="65"/>
      <c r="R75" s="65"/>
      <c r="S75" s="65"/>
      <c r="T75" s="65"/>
      <c r="U75" s="65"/>
      <c r="V75" s="172"/>
      <c r="W75" s="172"/>
      <c r="X75" s="172"/>
      <c r="Y75" s="172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</row>
    <row r="76" spans="5:25" s="65" customFormat="1" ht="12.75">
      <c r="E76" s="129"/>
      <c r="F76" s="128"/>
      <c r="G76" s="128"/>
      <c r="J76" s="159"/>
      <c r="K76" s="92"/>
      <c r="L76" s="91"/>
      <c r="M76" s="91"/>
      <c r="N76" s="35"/>
      <c r="O76" s="54"/>
      <c r="V76" s="172"/>
      <c r="W76" s="172"/>
      <c r="X76" s="172"/>
      <c r="Y76" s="172"/>
    </row>
    <row r="77" spans="5:68" ht="12.75">
      <c r="E77" s="128"/>
      <c r="F77" s="128"/>
      <c r="G77" s="129"/>
      <c r="H77" s="65"/>
      <c r="I77" s="65"/>
      <c r="J77" s="156"/>
      <c r="K77" s="92"/>
      <c r="L77" s="91"/>
      <c r="M77" s="91"/>
      <c r="N77" s="55"/>
      <c r="O77" s="54"/>
      <c r="P77" s="65"/>
      <c r="Q77" s="65"/>
      <c r="R77" s="65"/>
      <c r="S77" s="65"/>
      <c r="T77" s="65"/>
      <c r="U77" s="65"/>
      <c r="V77" s="172"/>
      <c r="W77" s="172"/>
      <c r="X77" s="172"/>
      <c r="Y77" s="172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</row>
    <row r="78" spans="5:68" ht="12.75">
      <c r="E78" s="128"/>
      <c r="F78" s="128"/>
      <c r="G78" s="128"/>
      <c r="H78" s="65"/>
      <c r="I78" s="65"/>
      <c r="J78" s="156"/>
      <c r="K78" s="92"/>
      <c r="L78" s="91"/>
      <c r="M78" s="91"/>
      <c r="N78" s="55"/>
      <c r="O78" s="55"/>
      <c r="P78" s="158"/>
      <c r="Q78" s="173"/>
      <c r="R78" s="158"/>
      <c r="S78" s="162"/>
      <c r="T78" s="162"/>
      <c r="U78" s="65"/>
      <c r="V78" s="172"/>
      <c r="W78" s="172"/>
      <c r="X78" s="172"/>
      <c r="Y78" s="172"/>
      <c r="Z78" s="158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</row>
    <row r="79" spans="5:68" ht="12.75">
      <c r="E79" s="129"/>
      <c r="F79" s="128"/>
      <c r="G79" s="128"/>
      <c r="H79" s="65"/>
      <c r="I79" s="65"/>
      <c r="J79" s="156"/>
      <c r="K79" s="92"/>
      <c r="L79" s="91"/>
      <c r="M79" s="91"/>
      <c r="N79" s="55"/>
      <c r="O79" s="55"/>
      <c r="P79" s="55"/>
      <c r="Q79" s="55"/>
      <c r="R79" s="55"/>
      <c r="S79" s="174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</row>
    <row r="80" spans="5:68" ht="12.75">
      <c r="E80" s="129"/>
      <c r="F80" s="128"/>
      <c r="G80" s="128"/>
      <c r="H80" s="65"/>
      <c r="I80" s="65"/>
      <c r="J80" s="156"/>
      <c r="K80" s="92"/>
      <c r="L80" s="91"/>
      <c r="M80" s="91"/>
      <c r="N80" s="55"/>
      <c r="O80" s="55"/>
      <c r="P80" s="55"/>
      <c r="Q80" s="175"/>
      <c r="R80" s="175"/>
      <c r="S80" s="176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</row>
    <row r="81" spans="5:68" ht="12.75">
      <c r="E81" s="129"/>
      <c r="F81" s="128"/>
      <c r="G81" s="129"/>
      <c r="H81" s="65"/>
      <c r="I81" s="65"/>
      <c r="J81" s="156"/>
      <c r="K81" s="92"/>
      <c r="L81" s="91"/>
      <c r="M81" s="91"/>
      <c r="N81" s="55"/>
      <c r="O81" s="55"/>
      <c r="P81" s="55"/>
      <c r="Q81" s="55"/>
      <c r="R81" s="55"/>
      <c r="S81" s="174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</row>
    <row r="82" spans="5:68" ht="12.75">
      <c r="E82" s="129"/>
      <c r="F82" s="128"/>
      <c r="G82" s="128"/>
      <c r="H82" s="65"/>
      <c r="I82" s="65"/>
      <c r="J82" s="55"/>
      <c r="K82" s="55"/>
      <c r="L82" s="54"/>
      <c r="M82" s="160"/>
      <c r="N82" s="55"/>
      <c r="O82" s="55"/>
      <c r="P82" s="161"/>
      <c r="Q82" s="177"/>
      <c r="R82" s="177"/>
      <c r="S82" s="126"/>
      <c r="T82" s="177"/>
      <c r="U82" s="177"/>
      <c r="V82" s="178"/>
      <c r="W82" s="35"/>
      <c r="X82" s="161"/>
      <c r="Y82" s="161"/>
      <c r="Z82" s="35"/>
      <c r="AA82" s="3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</row>
    <row r="83" spans="5:68" ht="12.75">
      <c r="E83" s="128"/>
      <c r="F83" s="128"/>
      <c r="G83" s="129"/>
      <c r="H83" s="65"/>
      <c r="I83" s="65"/>
      <c r="J83" s="35"/>
      <c r="K83" s="36"/>
      <c r="L83" s="35"/>
      <c r="M83" s="35"/>
      <c r="N83" s="98"/>
      <c r="O83" s="35"/>
      <c r="P83" s="127"/>
      <c r="Q83" s="127"/>
      <c r="R83" s="126"/>
      <c r="S83" s="127"/>
      <c r="T83" s="127"/>
      <c r="U83" s="35"/>
      <c r="V83" s="35"/>
      <c r="W83" s="35"/>
      <c r="X83" s="36"/>
      <c r="Y83" s="35"/>
      <c r="Z83" s="3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</row>
    <row r="84" spans="5:68" ht="12.75">
      <c r="E84" s="128"/>
      <c r="F84" s="128"/>
      <c r="G84" s="128"/>
      <c r="H84" s="65"/>
      <c r="I84" s="65"/>
      <c r="J84" s="90"/>
      <c r="K84" s="92"/>
      <c r="L84" s="92"/>
      <c r="M84" s="91"/>
      <c r="N84" s="55"/>
      <c r="O84" s="5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</row>
    <row r="85" spans="5:68" ht="12.75">
      <c r="E85" s="129"/>
      <c r="F85" s="128"/>
      <c r="G85" s="128"/>
      <c r="H85" s="65"/>
      <c r="I85" s="65"/>
      <c r="J85" s="90"/>
      <c r="K85" s="92"/>
      <c r="L85" s="92"/>
      <c r="M85" s="91"/>
      <c r="N85" s="53"/>
      <c r="O85" s="55"/>
      <c r="P85" s="162"/>
      <c r="Q85" s="162"/>
      <c r="R85" s="162"/>
      <c r="S85" s="162"/>
      <c r="T85" s="162"/>
      <c r="U85" s="162"/>
      <c r="V85" s="158"/>
      <c r="W85" s="172"/>
      <c r="X85" s="172"/>
      <c r="Y85" s="172"/>
      <c r="Z85" s="162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</row>
    <row r="86" spans="5:68" ht="12.75">
      <c r="E86" s="128"/>
      <c r="F86" s="128"/>
      <c r="G86" s="128"/>
      <c r="H86" s="65"/>
      <c r="I86" s="65"/>
      <c r="J86" s="90"/>
      <c r="K86" s="92"/>
      <c r="L86" s="92"/>
      <c r="M86" s="91"/>
      <c r="N86" s="55"/>
      <c r="O86" s="55"/>
      <c r="P86" s="162"/>
      <c r="Q86" s="162"/>
      <c r="R86" s="162"/>
      <c r="S86" s="162"/>
      <c r="T86" s="162"/>
      <c r="U86" s="162"/>
      <c r="V86" s="158"/>
      <c r="W86" s="172"/>
      <c r="X86" s="172"/>
      <c r="Y86" s="172"/>
      <c r="Z86" s="162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</row>
    <row r="87" spans="5:68" ht="12.75">
      <c r="E87" s="133"/>
      <c r="F87" s="163"/>
      <c r="G87" s="163"/>
      <c r="H87" s="65"/>
      <c r="I87" s="65"/>
      <c r="J87" s="90"/>
      <c r="K87" s="92"/>
      <c r="L87" s="92"/>
      <c r="M87" s="91"/>
      <c r="N87" s="55"/>
      <c r="O87" s="55"/>
      <c r="P87" s="162"/>
      <c r="Q87" s="162"/>
      <c r="R87" s="162"/>
      <c r="S87" s="162"/>
      <c r="T87" s="162"/>
      <c r="U87" s="162"/>
      <c r="V87" s="158"/>
      <c r="W87" s="172"/>
      <c r="X87" s="172"/>
      <c r="Y87" s="172"/>
      <c r="Z87" s="162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</row>
    <row r="88" spans="1:68" ht="12.75">
      <c r="A88" s="69"/>
      <c r="B88" s="70"/>
      <c r="C88" s="72"/>
      <c r="D88" s="72"/>
      <c r="E88" s="76"/>
      <c r="F88" s="90"/>
      <c r="G88" s="90"/>
      <c r="H88" s="90"/>
      <c r="I88" s="91"/>
      <c r="J88" s="90"/>
      <c r="K88" s="92"/>
      <c r="L88" s="92"/>
      <c r="M88" s="91"/>
      <c r="N88" s="55"/>
      <c r="O88" s="55"/>
      <c r="P88" s="162"/>
      <c r="Q88" s="162"/>
      <c r="R88" s="162"/>
      <c r="S88" s="162"/>
      <c r="T88" s="162"/>
      <c r="U88" s="162"/>
      <c r="V88" s="158"/>
      <c r="W88" s="172"/>
      <c r="X88" s="172"/>
      <c r="Y88" s="172"/>
      <c r="Z88" s="162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</row>
    <row r="89" spans="5:68" ht="12.75">
      <c r="E89" s="76"/>
      <c r="F89" s="90"/>
      <c r="G89" s="90"/>
      <c r="H89" s="90"/>
      <c r="I89" s="91"/>
      <c r="J89" s="90"/>
      <c r="K89" s="92"/>
      <c r="L89" s="92"/>
      <c r="M89" s="91"/>
      <c r="N89" s="68"/>
      <c r="O89" s="55"/>
      <c r="P89" s="162"/>
      <c r="Q89" s="162"/>
      <c r="R89" s="162"/>
      <c r="S89" s="162"/>
      <c r="T89" s="162"/>
      <c r="U89" s="162"/>
      <c r="V89" s="158"/>
      <c r="W89" s="172"/>
      <c r="X89" s="172"/>
      <c r="Y89" s="172"/>
      <c r="Z89" s="162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</row>
    <row r="90" spans="6:68" ht="12.75">
      <c r="F90" s="90"/>
      <c r="G90" s="90"/>
      <c r="H90" s="90"/>
      <c r="I90" s="91"/>
      <c r="J90" s="90"/>
      <c r="K90" s="92"/>
      <c r="L90" s="92"/>
      <c r="M90" s="91"/>
      <c r="N90" s="161"/>
      <c r="O90" s="55"/>
      <c r="P90" s="162"/>
      <c r="Q90" s="162"/>
      <c r="R90" s="162"/>
      <c r="S90" s="162"/>
      <c r="T90" s="162"/>
      <c r="U90" s="162"/>
      <c r="V90" s="158"/>
      <c r="W90" s="172"/>
      <c r="X90" s="172"/>
      <c r="Y90" s="172"/>
      <c r="Z90" s="162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</row>
    <row r="91" spans="6:68" ht="12.75">
      <c r="F91" s="90"/>
      <c r="G91" s="90"/>
      <c r="H91" s="90"/>
      <c r="I91" s="91"/>
      <c r="J91" s="90"/>
      <c r="K91" s="92"/>
      <c r="L91" s="92"/>
      <c r="M91" s="91"/>
      <c r="N91" s="35"/>
      <c r="O91" s="55"/>
      <c r="P91" s="162"/>
      <c r="Q91" s="162"/>
      <c r="R91" s="162"/>
      <c r="S91" s="162"/>
      <c r="T91" s="162"/>
      <c r="U91" s="162"/>
      <c r="V91" s="158"/>
      <c r="W91" s="172"/>
      <c r="X91" s="172"/>
      <c r="Y91" s="172"/>
      <c r="Z91" s="162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</row>
    <row r="92" spans="6:68" ht="12.75">
      <c r="F92" s="90"/>
      <c r="G92" s="90"/>
      <c r="H92" s="90"/>
      <c r="I92" s="91"/>
      <c r="J92" s="90"/>
      <c r="K92" s="92"/>
      <c r="L92" s="92"/>
      <c r="M92" s="91"/>
      <c r="N92" s="35"/>
      <c r="O92" s="55"/>
      <c r="P92" s="162"/>
      <c r="Q92" s="162"/>
      <c r="R92" s="162"/>
      <c r="S92" s="162"/>
      <c r="T92" s="162"/>
      <c r="U92" s="162"/>
      <c r="V92" s="158"/>
      <c r="W92" s="172"/>
      <c r="X92" s="172"/>
      <c r="Y92" s="172"/>
      <c r="Z92" s="162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</row>
    <row r="93" spans="6:26" ht="12.75">
      <c r="F93" s="90"/>
      <c r="G93" s="90"/>
      <c r="H93" s="90"/>
      <c r="I93" s="91"/>
      <c r="J93" s="90"/>
      <c r="K93" s="92"/>
      <c r="L93" s="92"/>
      <c r="M93" s="91"/>
      <c r="N93" s="35"/>
      <c r="O93" s="51"/>
      <c r="P93" s="103"/>
      <c r="Q93" s="103"/>
      <c r="R93" s="103"/>
      <c r="S93" s="103"/>
      <c r="T93" s="103"/>
      <c r="U93" s="103"/>
      <c r="V93" s="16"/>
      <c r="W93" s="10"/>
      <c r="X93" s="10"/>
      <c r="Y93" s="10"/>
      <c r="Z93" s="103"/>
    </row>
    <row r="94" spans="6:26" ht="12.75">
      <c r="F94" s="90"/>
      <c r="G94" s="90"/>
      <c r="H94" s="90"/>
      <c r="I94" s="91"/>
      <c r="J94" s="90"/>
      <c r="K94" s="92"/>
      <c r="L94" s="92"/>
      <c r="M94" s="91"/>
      <c r="N94" s="55"/>
      <c r="O94" s="51"/>
      <c r="P94" s="103"/>
      <c r="Q94" s="103"/>
      <c r="R94" s="103"/>
      <c r="S94" s="103"/>
      <c r="T94" s="103"/>
      <c r="U94" s="103"/>
      <c r="V94" s="16"/>
      <c r="W94" s="10"/>
      <c r="X94" s="10"/>
      <c r="Y94" s="10"/>
      <c r="Z94" s="103"/>
    </row>
    <row r="95" spans="6:26" ht="12.75">
      <c r="F95" s="90"/>
      <c r="G95" s="90"/>
      <c r="H95" s="164"/>
      <c r="I95" s="91"/>
      <c r="J95" s="90"/>
      <c r="K95" s="92"/>
      <c r="L95" s="92"/>
      <c r="M95" s="91"/>
      <c r="N95" s="55"/>
      <c r="O95" s="51"/>
      <c r="P95" s="103"/>
      <c r="Q95" s="103"/>
      <c r="R95" s="103"/>
      <c r="S95" s="103"/>
      <c r="T95" s="103"/>
      <c r="U95" s="103"/>
      <c r="V95" s="16"/>
      <c r="W95" s="10"/>
      <c r="X95" s="10"/>
      <c r="Y95" s="10"/>
      <c r="Z95" s="103"/>
    </row>
    <row r="96" spans="6:15" ht="12.75">
      <c r="F96" s="90"/>
      <c r="G96" s="90"/>
      <c r="H96" s="164"/>
      <c r="I96" s="91"/>
      <c r="J96" s="90"/>
      <c r="K96" s="92"/>
      <c r="L96" s="92"/>
      <c r="M96" s="91"/>
      <c r="N96" s="55"/>
      <c r="O96" s="51"/>
    </row>
    <row r="97" spans="6:15" ht="12.75">
      <c r="F97" s="90"/>
      <c r="G97" s="90"/>
      <c r="H97" s="90"/>
      <c r="I97" s="91"/>
      <c r="J97" s="90"/>
      <c r="K97" s="92"/>
      <c r="L97" s="92"/>
      <c r="M97" s="91"/>
      <c r="N97" s="55"/>
      <c r="O97" s="51"/>
    </row>
    <row r="98" spans="6:15" ht="12.75">
      <c r="F98" s="90"/>
      <c r="G98" s="90"/>
      <c r="H98" s="90"/>
      <c r="I98" s="91"/>
      <c r="J98" s="90"/>
      <c r="K98" s="92"/>
      <c r="L98" s="92"/>
      <c r="M98" s="91"/>
      <c r="N98" s="55"/>
      <c r="O98" s="51"/>
    </row>
    <row r="99" spans="6:15" ht="12" customHeight="1">
      <c r="F99" s="90"/>
      <c r="G99" s="90"/>
      <c r="H99" s="90"/>
      <c r="I99" s="91"/>
      <c r="J99" s="90"/>
      <c r="K99" s="92"/>
      <c r="L99" s="92"/>
      <c r="M99" s="91"/>
      <c r="N99" s="55"/>
      <c r="O99" s="51"/>
    </row>
    <row r="100" spans="6:15" ht="12.75">
      <c r="F100" s="90"/>
      <c r="G100" s="90"/>
      <c r="H100" s="90"/>
      <c r="I100" s="91"/>
      <c r="J100" s="90"/>
      <c r="K100" s="92"/>
      <c r="L100" s="92"/>
      <c r="M100" s="91"/>
      <c r="N100" s="55"/>
      <c r="O100" s="51"/>
    </row>
    <row r="101" spans="6:15" ht="12.75">
      <c r="F101" s="90"/>
      <c r="G101" s="90"/>
      <c r="H101" s="90"/>
      <c r="I101" s="91"/>
      <c r="J101" s="90"/>
      <c r="K101" s="92"/>
      <c r="L101" s="92"/>
      <c r="M101" s="91"/>
      <c r="N101" s="55"/>
      <c r="O101" s="51"/>
    </row>
    <row r="102" spans="6:15" ht="12.75">
      <c r="F102" s="90"/>
      <c r="G102" s="90"/>
      <c r="H102" s="90"/>
      <c r="I102" s="91"/>
      <c r="J102" s="90"/>
      <c r="K102" s="92"/>
      <c r="L102" s="92"/>
      <c r="M102" s="91"/>
      <c r="N102" s="165"/>
      <c r="O102" s="49"/>
    </row>
    <row r="103" spans="6:15" ht="12.75">
      <c r="F103" s="72"/>
      <c r="G103" s="72"/>
      <c r="H103" s="72"/>
      <c r="I103" s="73"/>
      <c r="J103" s="72"/>
      <c r="K103" s="75"/>
      <c r="L103" s="75"/>
      <c r="M103" s="73"/>
      <c r="N103" s="60"/>
      <c r="O103" s="60"/>
    </row>
    <row r="104" spans="1:19" ht="12.75">
      <c r="A104" s="93"/>
      <c r="B104" s="94"/>
      <c r="C104" s="68"/>
      <c r="D104" s="68"/>
      <c r="E104" s="68"/>
      <c r="F104" s="68"/>
      <c r="G104" s="68"/>
      <c r="H104" s="68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2.75">
      <c r="A105" s="93"/>
      <c r="B105" s="68"/>
      <c r="C105" s="94"/>
      <c r="D105" s="68"/>
      <c r="E105" s="68"/>
      <c r="F105" s="68"/>
      <c r="G105" s="68"/>
      <c r="H105" s="6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2.75">
      <c r="A106" s="93"/>
      <c r="B106" s="68"/>
      <c r="C106" s="118"/>
      <c r="D106" s="118"/>
      <c r="E106" s="68"/>
      <c r="F106" s="68"/>
      <c r="G106" s="68"/>
      <c r="H106" s="6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2.75">
      <c r="A107" s="93"/>
      <c r="B107" s="68"/>
      <c r="C107" s="118"/>
      <c r="D107" s="118"/>
      <c r="E107" s="68"/>
      <c r="F107" s="68"/>
      <c r="G107" s="68"/>
      <c r="H107" s="68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2.75">
      <c r="A108" s="93"/>
      <c r="B108" s="68"/>
      <c r="C108" s="118"/>
      <c r="D108" s="118"/>
      <c r="E108" s="68"/>
      <c r="F108" s="68"/>
      <c r="G108" s="68"/>
      <c r="H108" s="68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8"/>
      <c r="B109" s="68"/>
      <c r="C109" s="118"/>
      <c r="D109" s="118"/>
      <c r="E109" s="68"/>
      <c r="F109" s="68"/>
      <c r="G109" s="68"/>
      <c r="H109" s="68"/>
      <c r="I109" s="68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8"/>
      <c r="B110" s="68"/>
      <c r="C110" s="118"/>
      <c r="D110" s="118"/>
      <c r="E110" s="68"/>
      <c r="F110" s="68"/>
      <c r="G110" s="68"/>
      <c r="H110" s="68"/>
      <c r="I110" s="68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2.75">
      <c r="A111" s="68"/>
      <c r="B111" s="68"/>
      <c r="C111" s="118"/>
      <c r="D111" s="118"/>
      <c r="E111" s="68"/>
      <c r="F111" s="95"/>
      <c r="G111" s="96"/>
      <c r="H111" s="96"/>
      <c r="I111" s="68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2.75">
      <c r="A112" s="68"/>
      <c r="B112" s="68"/>
      <c r="C112" s="118"/>
      <c r="D112" s="118"/>
      <c r="E112" s="68"/>
      <c r="F112" s="97"/>
      <c r="G112" s="94"/>
      <c r="H112" s="94"/>
      <c r="I112" s="68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8"/>
      <c r="B113" s="68"/>
      <c r="C113" s="118"/>
      <c r="D113" s="68"/>
      <c r="E113" s="68"/>
      <c r="F113" s="97"/>
      <c r="G113" s="94"/>
      <c r="H113" s="94"/>
      <c r="I113" s="68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8"/>
      <c r="B114" s="119"/>
      <c r="C114" s="120"/>
      <c r="D114" s="110"/>
      <c r="E114" s="110"/>
      <c r="F114" s="97"/>
      <c r="G114" s="94"/>
      <c r="H114" s="94"/>
      <c r="I114" s="68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8"/>
      <c r="B115" s="119"/>
      <c r="C115" s="119"/>
      <c r="D115" s="68"/>
      <c r="E115" s="68"/>
      <c r="F115" s="97"/>
      <c r="G115" s="94"/>
      <c r="H115" s="94"/>
      <c r="I115" s="68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8"/>
      <c r="B116" s="119"/>
      <c r="C116" s="119"/>
      <c r="D116" s="68"/>
      <c r="E116" s="68"/>
      <c r="F116" s="97"/>
      <c r="G116" s="94"/>
      <c r="H116" s="94"/>
      <c r="I116" s="68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8"/>
      <c r="B117" s="119"/>
      <c r="C117" s="119"/>
      <c r="D117" s="68"/>
      <c r="E117" s="68"/>
      <c r="F117" s="97"/>
      <c r="G117" s="94"/>
      <c r="H117" s="94"/>
      <c r="I117" s="68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8"/>
      <c r="B118" s="68"/>
      <c r="C118" s="94"/>
      <c r="D118" s="68"/>
      <c r="E118" s="68"/>
      <c r="F118" s="97"/>
      <c r="G118" s="94"/>
      <c r="H118" s="94"/>
      <c r="I118" s="68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8"/>
      <c r="B119" s="68"/>
      <c r="C119" s="94"/>
      <c r="D119" s="68"/>
      <c r="E119" s="68"/>
      <c r="F119" s="97"/>
      <c r="G119" s="94"/>
      <c r="H119" s="94"/>
      <c r="I119" s="68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97"/>
      <c r="G120" s="94"/>
      <c r="H120" s="94"/>
      <c r="I120" s="68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97"/>
      <c r="G121" s="94"/>
      <c r="H121" s="94"/>
      <c r="I121" s="68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8"/>
      <c r="G122" s="68"/>
      <c r="H122" s="68"/>
      <c r="I122" s="68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2"/>
      <c r="C132" s="6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4"/>
      <c r="B133" s="62"/>
      <c r="C133" s="62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2"/>
      <c r="C143" s="6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4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29"/>
      <c r="B147" s="29"/>
      <c r="C147" s="33"/>
      <c r="D147" s="31"/>
      <c r="E147" s="33"/>
      <c r="F147" s="29"/>
      <c r="G147" s="30"/>
      <c r="H147" s="30"/>
      <c r="I147" s="45"/>
      <c r="J147" s="29"/>
      <c r="K147" s="45"/>
      <c r="L147" s="45"/>
      <c r="M147" s="29"/>
      <c r="N147" s="29"/>
      <c r="O147" s="32"/>
      <c r="P147" s="45"/>
      <c r="Q147" s="32"/>
      <c r="R147" s="32"/>
      <c r="S147" s="45"/>
    </row>
    <row r="148" spans="1:19" ht="12.75">
      <c r="A148" s="46"/>
      <c r="B148" s="47"/>
      <c r="C148" s="49"/>
      <c r="D148" s="49"/>
      <c r="E148" s="49"/>
      <c r="F148" s="47"/>
      <c r="G148" s="48"/>
      <c r="H148" s="48"/>
      <c r="I148" s="51"/>
      <c r="J148" s="51"/>
      <c r="K148" s="51"/>
      <c r="L148" s="51"/>
      <c r="M148" s="51"/>
      <c r="N148" s="58"/>
      <c r="O148" s="51"/>
      <c r="P148" s="51"/>
      <c r="Q148" s="50"/>
      <c r="R148" s="50"/>
      <c r="S148" s="50"/>
    </row>
    <row r="149" spans="1:19" ht="12.75">
      <c r="A149" s="46"/>
      <c r="B149" s="47"/>
      <c r="C149" s="49"/>
      <c r="D149" s="49"/>
      <c r="E149" s="49"/>
      <c r="F149" s="47"/>
      <c r="G149" s="48"/>
      <c r="H149" s="48"/>
      <c r="I149" s="51"/>
      <c r="J149" s="51"/>
      <c r="K149" s="51"/>
      <c r="L149" s="60"/>
      <c r="M149" s="51"/>
      <c r="N149" s="58"/>
      <c r="O149" s="51"/>
      <c r="P149" s="51"/>
      <c r="Q149" s="51"/>
      <c r="R149" s="51"/>
      <c r="S149" s="60"/>
    </row>
    <row r="150" spans="1:19" ht="12.75">
      <c r="A150" s="46"/>
      <c r="B150" s="47"/>
      <c r="C150" s="49"/>
      <c r="D150" s="49"/>
      <c r="E150" s="49"/>
      <c r="F150" s="47"/>
      <c r="G150" s="48"/>
      <c r="H150" s="48"/>
      <c r="I150" s="51"/>
      <c r="J150" s="51"/>
      <c r="K150" s="51"/>
      <c r="L150" s="51"/>
      <c r="M150" s="51"/>
      <c r="N150" s="58"/>
      <c r="O150" s="51"/>
      <c r="P150" s="51"/>
      <c r="Q150" s="51"/>
      <c r="R150" s="51"/>
      <c r="S150" s="51"/>
    </row>
    <row r="151" spans="1:19" ht="12.75">
      <c r="A151" s="46"/>
      <c r="B151" s="47"/>
      <c r="C151" s="49"/>
      <c r="D151" s="49"/>
      <c r="E151" s="49"/>
      <c r="F151" s="57"/>
      <c r="G151" s="48"/>
      <c r="H151" s="48"/>
      <c r="I151" s="51"/>
      <c r="J151" s="51"/>
      <c r="K151" s="51"/>
      <c r="L151" s="51"/>
      <c r="M151" s="51"/>
      <c r="N151" s="58"/>
      <c r="O151" s="51"/>
      <c r="P151" s="51"/>
      <c r="Q151" s="51"/>
      <c r="R151" s="51"/>
      <c r="S151" s="51"/>
    </row>
    <row r="152" spans="1:19" ht="12.75">
      <c r="A152" s="46"/>
      <c r="B152" s="47"/>
      <c r="C152" s="49"/>
      <c r="D152" s="49"/>
      <c r="E152" s="49"/>
      <c r="F152" s="56"/>
      <c r="G152" s="48"/>
      <c r="H152" s="48"/>
      <c r="I152" s="56"/>
      <c r="J152" s="56"/>
      <c r="K152" s="51"/>
      <c r="L152" s="51"/>
      <c r="M152" s="51"/>
      <c r="N152" s="58"/>
      <c r="O152" s="51"/>
      <c r="P152" s="51"/>
      <c r="Q152" s="51"/>
      <c r="R152" s="51"/>
      <c r="S152" s="51"/>
    </row>
    <row r="153" spans="1:19" ht="12.75">
      <c r="A153" s="46"/>
      <c r="B153" s="47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</row>
    <row r="154" spans="1:19" ht="12.75">
      <c r="A154" s="46"/>
      <c r="B154" s="47"/>
      <c r="C154" s="49"/>
      <c r="D154" s="49"/>
      <c r="E154" s="49"/>
      <c r="F154" s="57"/>
      <c r="G154" s="48"/>
      <c r="H154" s="48"/>
      <c r="I154" s="51"/>
      <c r="J154" s="51"/>
      <c r="K154" s="60"/>
      <c r="L154" s="51"/>
      <c r="M154" s="60"/>
      <c r="N154" s="59"/>
      <c r="O154" s="60"/>
      <c r="P154" s="51"/>
      <c r="Q154" s="51"/>
      <c r="R154" s="51"/>
      <c r="S154" s="51"/>
    </row>
    <row r="155" spans="1:19" ht="12.75">
      <c r="A155" s="46"/>
      <c r="B155" s="47"/>
      <c r="C155" s="49"/>
      <c r="D155" s="49"/>
      <c r="E155" s="49"/>
      <c r="F155" s="57"/>
      <c r="G155" s="48"/>
      <c r="H155" s="48"/>
      <c r="I155" s="57"/>
      <c r="J155" s="57"/>
      <c r="K155" s="51"/>
      <c r="L155" s="51"/>
      <c r="M155" s="51"/>
      <c r="N155" s="58"/>
      <c r="O155" s="51"/>
      <c r="P155" s="51"/>
      <c r="Q155" s="51"/>
      <c r="R155" s="51"/>
      <c r="S155" s="51"/>
    </row>
    <row r="156" spans="1:19" ht="12.75">
      <c r="A156" s="46"/>
      <c r="B156" s="47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</row>
    <row r="157" spans="1:19" ht="12.75" hidden="1">
      <c r="A157" s="46"/>
      <c r="B157" s="47"/>
      <c r="C157" s="49"/>
      <c r="D157" s="49"/>
      <c r="E157" s="49"/>
      <c r="F157" s="57"/>
      <c r="G157" s="48"/>
      <c r="H157" s="48"/>
      <c r="I157" s="51"/>
      <c r="J157" s="51"/>
      <c r="K157" s="51"/>
      <c r="L157" s="51"/>
      <c r="M157" s="51"/>
      <c r="N157" s="58"/>
      <c r="O157" s="51"/>
      <c r="P157" s="51"/>
      <c r="Q157" s="51"/>
      <c r="R157" s="51"/>
      <c r="S157" s="51"/>
    </row>
    <row r="158" spans="1:19" ht="12.75" hidden="1">
      <c r="A158" s="46"/>
      <c r="B158" s="47"/>
      <c r="C158" s="49"/>
      <c r="D158" s="49"/>
      <c r="E158" s="49"/>
      <c r="F158" s="57"/>
      <c r="G158" s="48"/>
      <c r="H158" s="48"/>
      <c r="I158" s="57"/>
      <c r="J158" s="51"/>
      <c r="K158" s="51"/>
      <c r="L158" s="51"/>
      <c r="M158" s="51"/>
      <c r="N158" s="58"/>
      <c r="O158" s="51"/>
      <c r="P158" s="51"/>
      <c r="Q158" s="51"/>
      <c r="R158" s="51"/>
      <c r="S158" s="51"/>
    </row>
    <row r="159" spans="1:19" ht="12.75">
      <c r="A159" s="46"/>
      <c r="B159" s="47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</row>
    <row r="160" spans="1:19" ht="12.75">
      <c r="A160" s="46"/>
      <c r="B160" s="47"/>
      <c r="C160" s="49"/>
      <c r="D160" s="49"/>
      <c r="E160" s="49"/>
      <c r="F160" s="57"/>
      <c r="G160" s="48"/>
      <c r="H160" s="48"/>
      <c r="I160" s="51"/>
      <c r="J160" s="51"/>
      <c r="K160" s="51"/>
      <c r="L160" s="51"/>
      <c r="M160" s="51"/>
      <c r="N160" s="58"/>
      <c r="O160" s="51"/>
      <c r="P160" s="51"/>
      <c r="Q160" s="51"/>
      <c r="R160" s="51"/>
      <c r="S160" s="51"/>
    </row>
    <row r="161" spans="1:19" ht="12.75">
      <c r="A161" s="46"/>
      <c r="B161" s="47"/>
      <c r="C161" s="49"/>
      <c r="D161" s="49"/>
      <c r="E161" s="49"/>
      <c r="F161" s="57"/>
      <c r="G161" s="48"/>
      <c r="H161" s="48"/>
      <c r="I161" s="51"/>
      <c r="J161" s="51"/>
      <c r="K161" s="51"/>
      <c r="L161" s="51"/>
      <c r="M161" s="51"/>
      <c r="N161" s="58"/>
      <c r="O161" s="51"/>
      <c r="P161" s="51"/>
      <c r="Q161" s="51"/>
      <c r="R161" s="51"/>
      <c r="S161" s="51"/>
    </row>
    <row r="162" spans="1:19" ht="12.75">
      <c r="A162" s="46"/>
      <c r="B162" s="47"/>
      <c r="C162" s="49"/>
      <c r="D162" s="49"/>
      <c r="E162" s="49"/>
      <c r="F162" s="57"/>
      <c r="G162" s="48"/>
      <c r="H162" s="48"/>
      <c r="I162" s="51"/>
      <c r="J162" s="51"/>
      <c r="K162" s="51"/>
      <c r="L162" s="51"/>
      <c r="M162" s="51"/>
      <c r="N162" s="58"/>
      <c r="O162" s="51"/>
      <c r="P162" s="51"/>
      <c r="Q162" s="51"/>
      <c r="R162" s="51"/>
      <c r="S162" s="51"/>
    </row>
    <row r="163" spans="1:19" ht="12.75">
      <c r="A163" s="6"/>
      <c r="B163" s="6"/>
      <c r="C163" s="6"/>
      <c r="D163" s="63"/>
      <c r="E163" s="61"/>
      <c r="F163" s="6"/>
      <c r="G163" s="63"/>
      <c r="H163" s="63"/>
      <c r="I163" s="6"/>
      <c r="J163" s="6"/>
      <c r="K163" s="62"/>
      <c r="L163" s="6"/>
      <c r="M163" s="6"/>
      <c r="N163" s="6"/>
      <c r="O163" s="61"/>
      <c r="P163" s="6"/>
      <c r="Q163" s="6"/>
      <c r="R163" s="6"/>
      <c r="S163" s="6"/>
    </row>
    <row r="164" spans="1:1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</sheetData>
  <mergeCells count="5">
    <mergeCell ref="P51:S51"/>
    <mergeCell ref="F1:G1"/>
    <mergeCell ref="K51:N51"/>
    <mergeCell ref="A51:D51"/>
    <mergeCell ref="F51:I51"/>
  </mergeCells>
  <printOptions headings="1"/>
  <pageMargins left="0.25" right="0.25" top="0.25" bottom="0.25" header="0.25" footer="0.25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7">
      <selection activeCell="I32" sqref="I32"/>
    </sheetView>
  </sheetViews>
  <sheetFormatPr defaultColWidth="9.140625" defaultRowHeight="12.75"/>
  <cols>
    <col min="6" max="6" width="15.7109375" style="0" customWidth="1"/>
    <col min="7" max="7" width="11.00390625" style="0" customWidth="1"/>
    <col min="8" max="8" width="7.8515625" style="0" customWidth="1"/>
    <col min="9" max="9" width="10.7109375" style="0" customWidth="1"/>
    <col min="10" max="10" width="12.7109375" style="0" customWidth="1"/>
  </cols>
  <sheetData>
    <row r="2" spans="1:9" ht="12.75">
      <c r="A2" s="7"/>
      <c r="B2" s="7"/>
      <c r="C2" s="7"/>
      <c r="D2" s="7"/>
      <c r="E2" s="7"/>
      <c r="F2" s="8"/>
      <c r="G2" s="8"/>
      <c r="H2" s="9"/>
      <c r="I2" s="9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5">
      <c r="A5" s="9"/>
      <c r="B5" s="142"/>
      <c r="C5" s="136"/>
      <c r="D5" s="142"/>
      <c r="E5" s="9"/>
      <c r="F5" s="9"/>
      <c r="G5" s="9"/>
      <c r="H5" s="9"/>
      <c r="I5" s="9"/>
    </row>
    <row r="6" spans="1:9" ht="15">
      <c r="A6" s="9"/>
      <c r="B6" s="142"/>
      <c r="C6" s="136"/>
      <c r="D6" s="142"/>
      <c r="E6" s="2"/>
      <c r="F6" s="2"/>
      <c r="G6" s="2"/>
      <c r="H6" s="9"/>
      <c r="I6" s="9"/>
    </row>
    <row r="7" spans="1:9" ht="15">
      <c r="A7" s="9"/>
      <c r="B7" s="142"/>
      <c r="C7" s="136"/>
      <c r="D7" s="142"/>
      <c r="E7" s="2"/>
      <c r="F7" s="2"/>
      <c r="G7" s="2"/>
      <c r="H7" s="9"/>
      <c r="I7" s="9"/>
    </row>
    <row r="8" spans="1:9" ht="15">
      <c r="A8" s="9"/>
      <c r="B8" s="142"/>
      <c r="C8" s="136"/>
      <c r="D8" s="142"/>
      <c r="E8" s="3"/>
      <c r="F8" s="3"/>
      <c r="G8" s="3"/>
      <c r="H8" s="9"/>
      <c r="I8" s="9"/>
    </row>
    <row r="9" spans="1:9" ht="15">
      <c r="A9" s="9"/>
      <c r="B9" s="142"/>
      <c r="C9" s="136"/>
      <c r="D9" s="142"/>
      <c r="E9" s="3"/>
      <c r="F9" s="3"/>
      <c r="G9" s="3"/>
      <c r="H9" s="9"/>
      <c r="I9" s="9"/>
    </row>
    <row r="10" spans="1:9" ht="15">
      <c r="A10" s="9"/>
      <c r="B10" s="142"/>
      <c r="C10" s="136"/>
      <c r="D10" s="142"/>
      <c r="E10" s="3"/>
      <c r="F10" s="3"/>
      <c r="G10" s="3"/>
      <c r="H10" s="9"/>
      <c r="I10" s="9"/>
    </row>
    <row r="11" spans="1:9" ht="15">
      <c r="A11" s="9"/>
      <c r="B11" s="142"/>
      <c r="C11" s="143"/>
      <c r="D11" s="142"/>
      <c r="E11" s="3"/>
      <c r="F11" s="3"/>
      <c r="G11" s="3"/>
      <c r="H11" s="9"/>
      <c r="I11" s="9"/>
    </row>
    <row r="12" spans="1:9" ht="15">
      <c r="A12" s="9"/>
      <c r="B12" s="142"/>
      <c r="C12" s="136"/>
      <c r="D12" s="142"/>
      <c r="E12" s="3"/>
      <c r="F12" s="3"/>
      <c r="G12" s="3"/>
      <c r="H12" s="9"/>
      <c r="I12" s="9"/>
    </row>
    <row r="13" spans="1:10" ht="20.25">
      <c r="A13" s="9"/>
      <c r="B13" s="142"/>
      <c r="C13" s="136"/>
      <c r="D13" s="142"/>
      <c r="E13" s="194" t="s">
        <v>135</v>
      </c>
      <c r="F13" s="194"/>
      <c r="G13" s="194"/>
      <c r="H13" s="194"/>
      <c r="I13" s="194"/>
      <c r="J13" s="194"/>
    </row>
    <row r="14" spans="1:9" ht="15">
      <c r="A14" s="9"/>
      <c r="B14" s="142"/>
      <c r="C14" s="136"/>
      <c r="D14" s="142"/>
      <c r="E14" s="3"/>
      <c r="F14" s="3"/>
      <c r="G14" s="3"/>
      <c r="H14" s="9"/>
      <c r="I14" s="9"/>
    </row>
    <row r="15" spans="1:10" ht="12.75" customHeight="1">
      <c r="A15" s="9"/>
      <c r="B15" s="142"/>
      <c r="C15" s="136"/>
      <c r="D15" s="142"/>
      <c r="E15" s="197">
        <v>2003</v>
      </c>
      <c r="F15" s="203" t="s">
        <v>81</v>
      </c>
      <c r="G15" s="203" t="s">
        <v>82</v>
      </c>
      <c r="H15" s="203" t="s">
        <v>83</v>
      </c>
      <c r="I15" s="195" t="s">
        <v>85</v>
      </c>
      <c r="J15" s="205" t="s">
        <v>86</v>
      </c>
    </row>
    <row r="16" spans="1:10" ht="15">
      <c r="A16" s="9"/>
      <c r="B16" s="142"/>
      <c r="C16" s="136"/>
      <c r="D16" s="142"/>
      <c r="E16" s="198"/>
      <c r="F16" s="204"/>
      <c r="G16" s="204"/>
      <c r="H16" s="204"/>
      <c r="I16" s="196"/>
      <c r="J16" s="206"/>
    </row>
    <row r="17" spans="1:10" ht="12.75">
      <c r="A17" s="9"/>
      <c r="B17" s="8"/>
      <c r="C17" s="8"/>
      <c r="D17" s="8"/>
      <c r="E17" s="199"/>
      <c r="F17" s="200" t="s">
        <v>80</v>
      </c>
      <c r="G17" s="201"/>
      <c r="H17" s="201"/>
      <c r="I17" s="201"/>
      <c r="J17" s="202"/>
    </row>
    <row r="18" spans="1:10" ht="12.75">
      <c r="A18" s="9"/>
      <c r="B18" s="24"/>
      <c r="C18" s="24"/>
      <c r="D18" s="24"/>
      <c r="E18" s="149" t="s">
        <v>78</v>
      </c>
      <c r="F18" s="26">
        <v>1093.8228</v>
      </c>
      <c r="G18" s="26">
        <v>280.3962</v>
      </c>
      <c r="H18" s="26">
        <f>SUM(F18:G18)</f>
        <v>1374.219</v>
      </c>
      <c r="I18" s="27">
        <v>1221.5280000000002</v>
      </c>
      <c r="J18" s="28">
        <f>H18-I18</f>
        <v>152.6909999999998</v>
      </c>
    </row>
    <row r="19" spans="1:10" ht="12.75">
      <c r="A19" s="9"/>
      <c r="B19" s="24"/>
      <c r="C19" s="24"/>
      <c r="D19" s="24"/>
      <c r="E19" s="149" t="s">
        <v>0</v>
      </c>
      <c r="F19" s="26">
        <v>1177.1088</v>
      </c>
      <c r="G19" s="26">
        <v>345.91452000000004</v>
      </c>
      <c r="H19" s="26">
        <f aca="true" t="shared" si="0" ref="H19:H29">SUM(F19:G19)</f>
        <v>1523.02332</v>
      </c>
      <c r="I19" s="27">
        <v>1443.624</v>
      </c>
      <c r="J19" s="28">
        <f aca="true" t="shared" si="1" ref="J19:J29">H19-I19</f>
        <v>79.39931999999999</v>
      </c>
    </row>
    <row r="20" spans="1:10" ht="12.75">
      <c r="A20" s="9"/>
      <c r="B20" s="24"/>
      <c r="C20" s="24"/>
      <c r="D20" s="24"/>
      <c r="E20" s="149" t="s">
        <v>1</v>
      </c>
      <c r="F20" s="26">
        <v>1449.1764</v>
      </c>
      <c r="G20" s="26">
        <v>1210.4232000000002</v>
      </c>
      <c r="H20" s="26">
        <f t="shared" si="0"/>
        <v>2659.5996000000005</v>
      </c>
      <c r="I20" s="27">
        <v>13155.222000000002</v>
      </c>
      <c r="J20" s="28">
        <f t="shared" si="1"/>
        <v>-10495.6224</v>
      </c>
    </row>
    <row r="21" spans="1:10" ht="12.75">
      <c r="A21" s="9"/>
      <c r="B21" s="24"/>
      <c r="C21" s="24"/>
      <c r="D21" s="24"/>
      <c r="E21" s="149" t="s">
        <v>2</v>
      </c>
      <c r="F21" s="26">
        <v>3375.8592</v>
      </c>
      <c r="G21" s="26">
        <v>8273.076000000001</v>
      </c>
      <c r="H21" s="26">
        <f t="shared" si="0"/>
        <v>11648.9352</v>
      </c>
      <c r="I21" s="27">
        <v>11719.53</v>
      </c>
      <c r="J21" s="28">
        <f t="shared" si="1"/>
        <v>-70.59480000000076</v>
      </c>
    </row>
    <row r="22" spans="1:10" ht="12.75">
      <c r="A22" s="9"/>
      <c r="B22" s="24"/>
      <c r="C22" s="24"/>
      <c r="D22" s="24"/>
      <c r="E22" s="149" t="s">
        <v>3</v>
      </c>
      <c r="F22" s="26">
        <v>3737.5584</v>
      </c>
      <c r="G22" s="26">
        <v>4469.682000000001</v>
      </c>
      <c r="H22" s="26">
        <f t="shared" si="0"/>
        <v>8207.2404</v>
      </c>
      <c r="I22" s="27">
        <v>891.3585</v>
      </c>
      <c r="J22" s="28">
        <f t="shared" si="1"/>
        <v>7315.8819</v>
      </c>
    </row>
    <row r="23" spans="1:10" ht="12.75">
      <c r="A23" s="9"/>
      <c r="B23" s="24"/>
      <c r="C23" s="24"/>
      <c r="D23" s="24"/>
      <c r="E23" s="149" t="s">
        <v>4</v>
      </c>
      <c r="F23" s="26">
        <v>4378.464</v>
      </c>
      <c r="G23" s="26">
        <v>882.8316000000001</v>
      </c>
      <c r="H23" s="26">
        <f t="shared" si="0"/>
        <v>5261.2956</v>
      </c>
      <c r="I23" s="27">
        <v>15348.42</v>
      </c>
      <c r="J23" s="28">
        <f t="shared" si="1"/>
        <v>-10087.1244</v>
      </c>
    </row>
    <row r="24" spans="1:10" ht="12.75">
      <c r="A24" s="9"/>
      <c r="B24" s="24"/>
      <c r="C24" s="24"/>
      <c r="D24" s="24"/>
      <c r="E24" s="149" t="s">
        <v>5</v>
      </c>
      <c r="F24" s="26">
        <v>3826.6942500000005</v>
      </c>
      <c r="G24" s="26">
        <v>430.31100000000004</v>
      </c>
      <c r="H24" s="26">
        <f t="shared" si="0"/>
        <v>4257.00525</v>
      </c>
      <c r="I24" s="27">
        <v>9058.046550000001</v>
      </c>
      <c r="J24" s="28">
        <f t="shared" si="1"/>
        <v>-4801.041300000001</v>
      </c>
    </row>
    <row r="25" spans="1:10" ht="12.75">
      <c r="A25" s="9"/>
      <c r="B25" s="24"/>
      <c r="C25" s="24"/>
      <c r="D25" s="24"/>
      <c r="E25" s="149" t="s">
        <v>6</v>
      </c>
      <c r="F25" s="26">
        <v>2812.3897500000003</v>
      </c>
      <c r="G25" s="26">
        <v>42.41636999999999</v>
      </c>
      <c r="H25" s="26">
        <f t="shared" si="0"/>
        <v>2854.80612</v>
      </c>
      <c r="I25" s="27">
        <v>2698.6647000000003</v>
      </c>
      <c r="J25" s="28">
        <f t="shared" si="1"/>
        <v>156.14141999999993</v>
      </c>
    </row>
    <row r="26" spans="1:10" ht="12.75">
      <c r="A26" s="9"/>
      <c r="B26" s="24"/>
      <c r="C26" s="24"/>
      <c r="D26" s="24"/>
      <c r="E26" s="149" t="s">
        <v>7</v>
      </c>
      <c r="F26" s="26">
        <v>5071.5225</v>
      </c>
      <c r="G26" s="26">
        <v>24.9858</v>
      </c>
      <c r="H26" s="26">
        <f t="shared" si="0"/>
        <v>5096.5083</v>
      </c>
      <c r="I26" s="27">
        <v>5476.0545</v>
      </c>
      <c r="J26" s="28">
        <f t="shared" si="1"/>
        <v>-379.54619999999977</v>
      </c>
    </row>
    <row r="27" spans="1:10" ht="12.75">
      <c r="A27" s="9"/>
      <c r="B27" s="24"/>
      <c r="C27" s="24"/>
      <c r="D27" s="24"/>
      <c r="E27" s="149" t="s">
        <v>8</v>
      </c>
      <c r="F27" s="26">
        <v>1475.3519999999999</v>
      </c>
      <c r="G27" s="26">
        <v>79.30017000000001</v>
      </c>
      <c r="H27" s="26">
        <f t="shared" si="0"/>
        <v>1554.6521699999998</v>
      </c>
      <c r="I27" s="27">
        <v>54.71097</v>
      </c>
      <c r="J27" s="28">
        <f t="shared" si="1"/>
        <v>1499.9411999999998</v>
      </c>
    </row>
    <row r="28" spans="1:10" ht="12.75">
      <c r="A28" s="9"/>
      <c r="B28" s="24"/>
      <c r="C28" s="24"/>
      <c r="D28" s="24"/>
      <c r="E28" s="149" t="s">
        <v>9</v>
      </c>
      <c r="F28" s="26">
        <v>1933.425</v>
      </c>
      <c r="G28" s="26">
        <v>311.1327</v>
      </c>
      <c r="H28" s="26">
        <f t="shared" si="0"/>
        <v>2244.5577</v>
      </c>
      <c r="I28" s="27">
        <v>52.9461</v>
      </c>
      <c r="J28" s="28">
        <f t="shared" si="1"/>
        <v>2191.6115999999997</v>
      </c>
    </row>
    <row r="29" spans="1:10" ht="12.75">
      <c r="A29" s="9"/>
      <c r="B29" s="24"/>
      <c r="C29" s="24"/>
      <c r="D29" s="24"/>
      <c r="E29" s="149" t="s">
        <v>10</v>
      </c>
      <c r="F29" s="26">
        <v>547.1097000000001</v>
      </c>
      <c r="G29" s="26">
        <v>515.75847</v>
      </c>
      <c r="H29" s="26">
        <f t="shared" si="0"/>
        <v>1062.8681700000002</v>
      </c>
      <c r="I29" s="27">
        <v>291.99675</v>
      </c>
      <c r="J29" s="28">
        <f t="shared" si="1"/>
        <v>770.8714200000002</v>
      </c>
    </row>
    <row r="30" spans="1:10" ht="12.75">
      <c r="A30" s="9"/>
      <c r="B30" s="25"/>
      <c r="C30" s="25"/>
      <c r="D30" s="25"/>
      <c r="E30" s="146" t="s">
        <v>84</v>
      </c>
      <c r="F30" s="112">
        <f>SUM(F18:F29)</f>
        <v>30878.4828</v>
      </c>
      <c r="G30" s="112">
        <f>SUM(G18:G29)</f>
        <v>16866.228030000002</v>
      </c>
      <c r="H30" s="154">
        <f>SUM(H18:H29)</f>
        <v>47744.71083</v>
      </c>
      <c r="I30" s="112">
        <f>SUM(I18:I29)</f>
        <v>61412.10207</v>
      </c>
      <c r="J30" s="113">
        <f>SUM(J18:J29)</f>
        <v>-13667.39124</v>
      </c>
    </row>
    <row r="31" spans="1:9" ht="12.75">
      <c r="A31" s="9"/>
      <c r="B31" s="3"/>
      <c r="C31" s="3"/>
      <c r="D31" s="3"/>
      <c r="E31" s="147" t="s">
        <v>87</v>
      </c>
      <c r="F31" s="148">
        <f>F30/H30</f>
        <v>0.6467414350868318</v>
      </c>
      <c r="G31" s="148">
        <f>G30/H30</f>
        <v>0.3532585649131682</v>
      </c>
      <c r="H31" s="3"/>
      <c r="I31" s="3"/>
    </row>
  </sheetData>
  <mergeCells count="8">
    <mergeCell ref="E13:J13"/>
    <mergeCell ref="I15:I16"/>
    <mergeCell ref="E15:E17"/>
    <mergeCell ref="F17:J17"/>
    <mergeCell ref="H15:H16"/>
    <mergeCell ref="G15:G16"/>
    <mergeCell ref="F15:F16"/>
    <mergeCell ref="J15:J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workbookViewId="0" topLeftCell="A25">
      <selection activeCell="L66" sqref="L66"/>
    </sheetView>
  </sheetViews>
  <sheetFormatPr defaultColWidth="9.140625" defaultRowHeight="12.75"/>
  <cols>
    <col min="8" max="8" width="17.00390625" style="0" customWidth="1"/>
    <col min="31" max="31" width="5.57421875" style="0" bestFit="1" customWidth="1"/>
    <col min="32" max="32" width="22.57421875" style="0" bestFit="1" customWidth="1"/>
  </cols>
  <sheetData>
    <row r="1" spans="1:3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 t="s">
        <v>71</v>
      </c>
      <c r="Q1" s="18"/>
      <c r="R1" s="18"/>
      <c r="S1" s="18"/>
      <c r="T1" s="18"/>
      <c r="U1" s="18"/>
      <c r="V1" s="18"/>
      <c r="W1" s="18"/>
      <c r="X1" s="18"/>
      <c r="Y1" s="18"/>
      <c r="Z1" s="17"/>
      <c r="AA1" s="17"/>
      <c r="AB1" s="17"/>
      <c r="AC1" s="17"/>
      <c r="AD1" s="17"/>
      <c r="AE1" s="17"/>
    </row>
    <row r="2" spans="1:32" ht="12.7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>
        <v>1988</v>
      </c>
      <c r="R2" s="18">
        <v>1991</v>
      </c>
      <c r="S2" s="18">
        <v>1992</v>
      </c>
      <c r="T2" s="18">
        <v>1993</v>
      </c>
      <c r="U2" s="18">
        <v>1994</v>
      </c>
      <c r="V2" s="18">
        <v>1995</v>
      </c>
      <c r="W2" s="18">
        <v>1996</v>
      </c>
      <c r="X2" s="18">
        <v>1997</v>
      </c>
      <c r="Y2" s="18">
        <v>1998</v>
      </c>
      <c r="Z2" s="17">
        <v>1999</v>
      </c>
      <c r="AA2" s="17">
        <v>2000</v>
      </c>
      <c r="AB2" s="17">
        <v>2001</v>
      </c>
      <c r="AC2" s="17">
        <v>2002</v>
      </c>
      <c r="AD2" s="17">
        <v>2003</v>
      </c>
      <c r="AE2" s="18" t="s">
        <v>69</v>
      </c>
      <c r="AF2" s="18" t="s">
        <v>68</v>
      </c>
    </row>
    <row r="3" spans="1:32" ht="12.75">
      <c r="A3" s="18"/>
      <c r="B3" s="18">
        <v>1988</v>
      </c>
      <c r="C3" s="18">
        <v>1991</v>
      </c>
      <c r="D3" s="18">
        <v>1992</v>
      </c>
      <c r="E3" s="18">
        <v>1993</v>
      </c>
      <c r="F3" s="18">
        <v>1994</v>
      </c>
      <c r="G3" s="18">
        <v>1995</v>
      </c>
      <c r="H3" s="18">
        <v>1996</v>
      </c>
      <c r="I3" s="18">
        <v>1997</v>
      </c>
      <c r="J3" s="18">
        <v>1998</v>
      </c>
      <c r="K3" s="18">
        <v>1999</v>
      </c>
      <c r="L3" s="18">
        <v>2000</v>
      </c>
      <c r="M3" s="18">
        <v>2001</v>
      </c>
      <c r="N3" s="18">
        <v>2002</v>
      </c>
      <c r="O3" s="18">
        <v>2003</v>
      </c>
      <c r="P3" s="18" t="s">
        <v>51</v>
      </c>
      <c r="Q3" s="20">
        <f aca="true" t="shared" si="0" ref="Q3:AD3">LN(B5)</f>
        <v>2.011086222015564</v>
      </c>
      <c r="R3" s="20">
        <f t="shared" si="0"/>
        <v>3.054944133185837</v>
      </c>
      <c r="S3" s="20">
        <f t="shared" si="0"/>
        <v>2.944965156500338</v>
      </c>
      <c r="T3" s="20">
        <f t="shared" si="0"/>
        <v>2.186051276738094</v>
      </c>
      <c r="U3" s="20">
        <f t="shared" si="0"/>
        <v>3.0170044088295307</v>
      </c>
      <c r="V3" s="20">
        <f t="shared" si="0"/>
        <v>1.6272778305624314</v>
      </c>
      <c r="W3" s="20">
        <f t="shared" si="0"/>
        <v>1.3609765531356006</v>
      </c>
      <c r="X3" s="20">
        <f t="shared" si="0"/>
        <v>0.8329091229351039</v>
      </c>
      <c r="Y3" s="20">
        <f t="shared" si="0"/>
        <v>1.3887912413184778</v>
      </c>
      <c r="Z3" s="20">
        <f t="shared" si="0"/>
        <v>1.4586150226995167</v>
      </c>
      <c r="AA3" s="20">
        <f t="shared" si="0"/>
        <v>1.9740810260220096</v>
      </c>
      <c r="AB3" s="20">
        <f t="shared" si="0"/>
        <v>2.2617630984737906</v>
      </c>
      <c r="AC3" s="20">
        <f t="shared" si="0"/>
        <v>2.2823823856765264</v>
      </c>
      <c r="AD3" s="20">
        <f t="shared" si="0"/>
        <v>2.3702437414678603</v>
      </c>
      <c r="AE3" s="18" t="s">
        <v>67</v>
      </c>
      <c r="AF3" s="18" t="s">
        <v>66</v>
      </c>
    </row>
    <row r="4" spans="1:32" ht="12.75">
      <c r="A4" s="18" t="s">
        <v>33</v>
      </c>
      <c r="B4" s="20">
        <f>1162/7</f>
        <v>166</v>
      </c>
      <c r="C4" s="18">
        <v>184.16</v>
      </c>
      <c r="D4" s="18">
        <v>162.26</v>
      </c>
      <c r="E4" s="18">
        <v>167.91</v>
      </c>
      <c r="F4" s="18">
        <v>87.03</v>
      </c>
      <c r="G4" s="18">
        <v>40.91</v>
      </c>
      <c r="H4" s="18">
        <v>34</v>
      </c>
      <c r="I4" s="18">
        <v>13</v>
      </c>
      <c r="J4" s="18">
        <v>12.3</v>
      </c>
      <c r="K4" s="18">
        <v>20</v>
      </c>
      <c r="L4" s="18">
        <v>21</v>
      </c>
      <c r="M4" s="18">
        <v>30</v>
      </c>
      <c r="N4" s="18">
        <v>22.9</v>
      </c>
      <c r="O4" s="18">
        <v>32.1</v>
      </c>
      <c r="P4" s="18"/>
      <c r="Q4" s="20">
        <f aca="true" t="shared" si="1" ref="Q4:AD4">20+(14.42*Q3)</f>
        <v>48.99986332146443</v>
      </c>
      <c r="R4" s="20">
        <f t="shared" si="1"/>
        <v>64.05229440053976</v>
      </c>
      <c r="S4" s="20">
        <f t="shared" si="1"/>
        <v>62.46639755673487</v>
      </c>
      <c r="T4" s="20">
        <f t="shared" si="1"/>
        <v>51.52285941056331</v>
      </c>
      <c r="U4" s="20">
        <f t="shared" si="1"/>
        <v>63.50520357532183</v>
      </c>
      <c r="V4" s="20">
        <f t="shared" si="1"/>
        <v>43.46534631671026</v>
      </c>
      <c r="W4" s="20">
        <f t="shared" si="1"/>
        <v>39.62528189621536</v>
      </c>
      <c r="X4" s="20">
        <f t="shared" si="1"/>
        <v>32.0105495527242</v>
      </c>
      <c r="Y4" s="20">
        <f t="shared" si="1"/>
        <v>40.02636969981245</v>
      </c>
      <c r="Z4" s="20">
        <f t="shared" si="1"/>
        <v>41.033228627327034</v>
      </c>
      <c r="AA4" s="20">
        <f t="shared" si="1"/>
        <v>48.46624839523738</v>
      </c>
      <c r="AB4" s="20">
        <f t="shared" si="1"/>
        <v>52.61462387999206</v>
      </c>
      <c r="AC4" s="20">
        <f t="shared" si="1"/>
        <v>52.91195400145551</v>
      </c>
      <c r="AD4" s="20">
        <f t="shared" si="1"/>
        <v>54.178914751966545</v>
      </c>
      <c r="AE4" s="18" t="s">
        <v>64</v>
      </c>
      <c r="AF4" s="18" t="s">
        <v>63</v>
      </c>
    </row>
    <row r="5" spans="1:32" ht="12.75">
      <c r="A5" s="18" t="s">
        <v>58</v>
      </c>
      <c r="B5" s="20">
        <f>52.3/7</f>
        <v>7.471428571428572</v>
      </c>
      <c r="C5" s="18">
        <v>21.22</v>
      </c>
      <c r="D5" s="18">
        <v>19.01</v>
      </c>
      <c r="E5" s="18">
        <v>8.9</v>
      </c>
      <c r="F5" s="18">
        <v>20.43</v>
      </c>
      <c r="G5" s="18">
        <v>5.09</v>
      </c>
      <c r="H5" s="18">
        <v>3.9</v>
      </c>
      <c r="I5" s="18">
        <v>2.3</v>
      </c>
      <c r="J5" s="18">
        <v>4.01</v>
      </c>
      <c r="K5" s="18">
        <v>4.3</v>
      </c>
      <c r="L5" s="18">
        <v>7.2</v>
      </c>
      <c r="M5" s="18">
        <v>9.6</v>
      </c>
      <c r="N5" s="18">
        <v>9.8</v>
      </c>
      <c r="O5" s="18">
        <v>10.7</v>
      </c>
      <c r="P5" s="18"/>
      <c r="Q5" s="20"/>
      <c r="R5" s="20"/>
      <c r="S5" s="20"/>
      <c r="T5" s="20"/>
      <c r="U5" s="20"/>
      <c r="V5" s="20"/>
      <c r="W5" s="18"/>
      <c r="X5" s="18"/>
      <c r="Y5" s="18"/>
      <c r="Z5" s="18"/>
      <c r="AE5" s="18" t="s">
        <v>62</v>
      </c>
      <c r="AF5" s="18" t="s">
        <v>61</v>
      </c>
    </row>
    <row r="6" spans="1:32" ht="12.75">
      <c r="A6" s="18" t="s">
        <v>15</v>
      </c>
      <c r="B6" s="18">
        <f>6.5/4</f>
        <v>1.625</v>
      </c>
      <c r="C6" s="18">
        <v>2.17</v>
      </c>
      <c r="D6" s="18">
        <v>2.1</v>
      </c>
      <c r="E6" s="18">
        <v>2.84</v>
      </c>
      <c r="F6" s="18">
        <v>1.79</v>
      </c>
      <c r="G6" s="18">
        <v>2.14</v>
      </c>
      <c r="H6" s="18">
        <v>4.86</v>
      </c>
      <c r="I6" s="18">
        <v>3.1</v>
      </c>
      <c r="J6" s="18">
        <v>2.63</v>
      </c>
      <c r="K6" s="18">
        <v>2.1</v>
      </c>
      <c r="L6" s="18">
        <v>2.43</v>
      </c>
      <c r="M6" s="18">
        <v>2</v>
      </c>
      <c r="N6" s="18">
        <v>2.3</v>
      </c>
      <c r="O6" s="18">
        <v>1.9</v>
      </c>
      <c r="P6" s="18" t="s">
        <v>50</v>
      </c>
      <c r="Q6" s="20">
        <f aca="true" t="shared" si="2" ref="Q6:AD6">LN(B4)</f>
        <v>5.111987788356544</v>
      </c>
      <c r="R6" s="20">
        <f t="shared" si="2"/>
        <v>5.215804944973573</v>
      </c>
      <c r="S6" s="20">
        <f t="shared" si="2"/>
        <v>5.089199986966919</v>
      </c>
      <c r="T6" s="20">
        <f t="shared" si="2"/>
        <v>5.1234281215713775</v>
      </c>
      <c r="U6" s="20">
        <f t="shared" si="2"/>
        <v>4.466252886801422</v>
      </c>
      <c r="V6" s="20">
        <f t="shared" si="2"/>
        <v>3.711374531941307</v>
      </c>
      <c r="W6" s="20">
        <f t="shared" si="2"/>
        <v>3.5263605246161616</v>
      </c>
      <c r="X6" s="20">
        <f t="shared" si="2"/>
        <v>2.5649493574615367</v>
      </c>
      <c r="Y6" s="20">
        <f t="shared" si="2"/>
        <v>2.509599262378372</v>
      </c>
      <c r="Z6" s="20">
        <f t="shared" si="2"/>
        <v>2.995732273553991</v>
      </c>
      <c r="AA6" s="20">
        <f t="shared" si="2"/>
        <v>3.044522437723423</v>
      </c>
      <c r="AB6" s="20">
        <f t="shared" si="2"/>
        <v>3.4011973816621555</v>
      </c>
      <c r="AC6" s="20">
        <f t="shared" si="2"/>
        <v>3.131136910560194</v>
      </c>
      <c r="AD6" s="20">
        <f t="shared" si="2"/>
        <v>3.4688560301359703</v>
      </c>
      <c r="AE6" s="18" t="s">
        <v>60</v>
      </c>
      <c r="AF6" s="18" t="s">
        <v>59</v>
      </c>
    </row>
    <row r="7" spans="1:32" ht="12.75">
      <c r="A7" s="17"/>
      <c r="B7" s="17"/>
      <c r="C7" s="17"/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20">
        <f aca="true" t="shared" si="3" ref="Q7:Y7">(20.02*Q6)</f>
        <v>102.341995522898</v>
      </c>
      <c r="R7" s="20">
        <f t="shared" si="3"/>
        <v>104.42041499837092</v>
      </c>
      <c r="S7" s="20">
        <f t="shared" si="3"/>
        <v>101.88578373907771</v>
      </c>
      <c r="T7" s="20">
        <f t="shared" si="3"/>
        <v>102.57103099385897</v>
      </c>
      <c r="U7" s="20">
        <f t="shared" si="3"/>
        <v>89.41438279376447</v>
      </c>
      <c r="V7" s="20">
        <f t="shared" si="3"/>
        <v>74.30171812946497</v>
      </c>
      <c r="W7" s="20">
        <f t="shared" si="3"/>
        <v>70.59773770281555</v>
      </c>
      <c r="X7" s="20">
        <f t="shared" si="3"/>
        <v>51.350286136379964</v>
      </c>
      <c r="Y7" s="20">
        <f t="shared" si="3"/>
        <v>50.24217723281501</v>
      </c>
      <c r="Z7" s="20">
        <f>LN(K5)</f>
        <v>1.4586150226995167</v>
      </c>
      <c r="AA7" s="20">
        <f>LN(L5)</f>
        <v>1.9740810260220096</v>
      </c>
      <c r="AB7" s="20">
        <f>LN(M5)</f>
        <v>2.2617630984737906</v>
      </c>
      <c r="AC7" s="20">
        <f>LN(N5)</f>
        <v>2.2823823856765264</v>
      </c>
      <c r="AD7" s="20">
        <f>LN(O5)</f>
        <v>2.3702437414678603</v>
      </c>
      <c r="AE7" s="18" t="s">
        <v>57</v>
      </c>
      <c r="AF7" s="18" t="s">
        <v>56</v>
      </c>
    </row>
    <row r="8" spans="1:31" ht="12.75">
      <c r="A8" s="18" t="s">
        <v>65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"/>
      <c r="S8" s="20"/>
      <c r="T8" s="20"/>
      <c r="U8" s="20"/>
      <c r="V8" s="20"/>
      <c r="W8" s="18"/>
      <c r="X8" s="17"/>
      <c r="Y8" s="17"/>
      <c r="Z8" s="17"/>
      <c r="AE8" s="17"/>
    </row>
    <row r="9" spans="1:31" ht="12.75">
      <c r="A9" s="18"/>
      <c r="B9" s="18"/>
      <c r="C9" s="18">
        <v>1991</v>
      </c>
      <c r="D9" s="18">
        <v>1992</v>
      </c>
      <c r="E9" s="18">
        <v>1993</v>
      </c>
      <c r="F9" s="18">
        <v>1994</v>
      </c>
      <c r="G9" s="18">
        <v>1995</v>
      </c>
      <c r="H9" s="18">
        <v>1996</v>
      </c>
      <c r="I9" s="18">
        <v>1997</v>
      </c>
      <c r="J9" s="18">
        <v>1998</v>
      </c>
      <c r="K9" s="18">
        <v>1999</v>
      </c>
      <c r="L9" s="18">
        <v>2000</v>
      </c>
      <c r="M9" s="18">
        <v>2001</v>
      </c>
      <c r="N9" s="18"/>
      <c r="O9" s="18"/>
      <c r="P9" s="18" t="s">
        <v>49</v>
      </c>
      <c r="Q9" s="20">
        <f aca="true" t="shared" si="4" ref="Q9:AD9">LN(1/B6-0.08)</f>
        <v>-0.6247698831152083</v>
      </c>
      <c r="R9" s="20">
        <f t="shared" si="4"/>
        <v>-0.9654035287290765</v>
      </c>
      <c r="S9" s="20">
        <f t="shared" si="4"/>
        <v>-0.9258601828903059</v>
      </c>
      <c r="T9" s="20">
        <f t="shared" si="4"/>
        <v>-1.3015390482569433</v>
      </c>
      <c r="U9" s="20">
        <f t="shared" si="4"/>
        <v>-0.7367663797012618</v>
      </c>
      <c r="V9" s="20">
        <f t="shared" si="4"/>
        <v>-0.9485822365106786</v>
      </c>
      <c r="W9" s="20">
        <f t="shared" si="4"/>
        <v>-2.0733694790422286</v>
      </c>
      <c r="X9" s="20">
        <f t="shared" si="4"/>
        <v>-1.4164210665233978</v>
      </c>
      <c r="Y9" s="20">
        <f t="shared" si="4"/>
        <v>-1.2032126370525384</v>
      </c>
      <c r="Z9" s="20">
        <f t="shared" si="4"/>
        <v>-0.9258601828903059</v>
      </c>
      <c r="AA9" s="20">
        <f t="shared" si="4"/>
        <v>-1.1040591949302418</v>
      </c>
      <c r="AB9" s="20">
        <f t="shared" si="4"/>
        <v>-0.8675005677047231</v>
      </c>
      <c r="AC9" s="20">
        <f t="shared" si="4"/>
        <v>-1.036250046953134</v>
      </c>
      <c r="AD9" s="20">
        <f t="shared" si="4"/>
        <v>-0.8067285293626288</v>
      </c>
      <c r="AE9" s="17"/>
    </row>
    <row r="10" spans="1:31" ht="12.75">
      <c r="A10" s="18" t="s">
        <v>33</v>
      </c>
      <c r="B10" s="18"/>
      <c r="C10" s="18">
        <v>191.83</v>
      </c>
      <c r="D10" s="18">
        <v>181.66</v>
      </c>
      <c r="E10" s="18">
        <v>206.9</v>
      </c>
      <c r="F10" s="18">
        <v>92.27</v>
      </c>
      <c r="G10" s="18">
        <v>58.4</v>
      </c>
      <c r="H10" s="23">
        <v>37.64705882352942</v>
      </c>
      <c r="I10" s="23">
        <v>14.392857</v>
      </c>
      <c r="J10" s="17">
        <v>15.6</v>
      </c>
      <c r="K10" s="18">
        <v>27.1</v>
      </c>
      <c r="L10" s="18">
        <v>15</v>
      </c>
      <c r="M10" s="18">
        <v>30</v>
      </c>
      <c r="N10" s="18">
        <v>25</v>
      </c>
      <c r="O10" s="18">
        <v>38</v>
      </c>
      <c r="P10" s="18"/>
      <c r="Q10" s="20">
        <f aca="true" t="shared" si="5" ref="Q10:AD10">75.3+(19.46*Q9)</f>
        <v>63.14197807457804</v>
      </c>
      <c r="R10" s="20">
        <f t="shared" si="5"/>
        <v>56.51324733093217</v>
      </c>
      <c r="S10" s="20">
        <f t="shared" si="5"/>
        <v>57.282760840954644</v>
      </c>
      <c r="T10" s="20">
        <f t="shared" si="5"/>
        <v>49.972050120919874</v>
      </c>
      <c r="U10" s="20">
        <f t="shared" si="5"/>
        <v>60.96252625101344</v>
      </c>
      <c r="V10" s="20">
        <f t="shared" si="5"/>
        <v>56.840589677502194</v>
      </c>
      <c r="W10" s="20">
        <f t="shared" si="5"/>
        <v>34.952229937838226</v>
      </c>
      <c r="X10" s="20">
        <f t="shared" si="5"/>
        <v>47.73644604545467</v>
      </c>
      <c r="Y10" s="20">
        <f t="shared" si="5"/>
        <v>51.885482082957594</v>
      </c>
      <c r="Z10" s="20">
        <f t="shared" si="5"/>
        <v>57.282760840954644</v>
      </c>
      <c r="AA10" s="20">
        <f t="shared" si="5"/>
        <v>53.81500806665749</v>
      </c>
      <c r="AB10" s="20">
        <f t="shared" si="5"/>
        <v>58.41843895246609</v>
      </c>
      <c r="AC10" s="20">
        <f t="shared" si="5"/>
        <v>55.134574086292005</v>
      </c>
      <c r="AD10" s="20">
        <f t="shared" si="5"/>
        <v>59.60106281860324</v>
      </c>
      <c r="AE10" s="17"/>
    </row>
    <row r="11" spans="1:31" ht="12.75">
      <c r="A11" s="18" t="s">
        <v>58</v>
      </c>
      <c r="B11" s="18"/>
      <c r="C11" s="18">
        <v>3.99</v>
      </c>
      <c r="D11" s="18">
        <v>11.78</v>
      </c>
      <c r="E11" s="18">
        <v>14.4</v>
      </c>
      <c r="F11" s="18">
        <v>26.4</v>
      </c>
      <c r="G11" s="18">
        <v>10.96</v>
      </c>
      <c r="H11" s="18">
        <v>3.31</v>
      </c>
      <c r="I11" s="18">
        <v>2.322</v>
      </c>
      <c r="J11" s="18">
        <v>3.8</v>
      </c>
      <c r="K11" s="18">
        <v>4.2</v>
      </c>
      <c r="L11" s="18">
        <v>6.24</v>
      </c>
      <c r="M11" s="18">
        <v>10.4</v>
      </c>
      <c r="N11" s="18">
        <v>9.1</v>
      </c>
      <c r="O11" s="18">
        <v>10</v>
      </c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7"/>
      <c r="AE11" s="17"/>
    </row>
    <row r="12" spans="1:31" ht="12.75">
      <c r="A12" s="18" t="s">
        <v>15</v>
      </c>
      <c r="B12" s="18"/>
      <c r="C12" s="18">
        <v>2.03</v>
      </c>
      <c r="D12" s="18">
        <v>2.12</v>
      </c>
      <c r="E12" s="18">
        <v>2.23</v>
      </c>
      <c r="F12" s="18">
        <v>1.7</v>
      </c>
      <c r="G12" s="18">
        <v>1.24</v>
      </c>
      <c r="H12" s="18">
        <v>6</v>
      </c>
      <c r="I12" s="18">
        <v>3.3</v>
      </c>
      <c r="J12" s="18">
        <v>2.6</v>
      </c>
      <c r="K12" s="18">
        <v>1.9</v>
      </c>
      <c r="L12" s="18">
        <v>2.25</v>
      </c>
      <c r="M12" s="18">
        <v>1.9</v>
      </c>
      <c r="N12" s="18">
        <v>2.5</v>
      </c>
      <c r="O12" s="18">
        <v>1.8</v>
      </c>
      <c r="P12" s="18" t="s">
        <v>48</v>
      </c>
      <c r="Q12" s="21">
        <f aca="true" t="shared" si="6" ref="Q12:Y12">(Q10+Q7+Q4)/3</f>
        <v>71.4946123063135</v>
      </c>
      <c r="R12" s="21">
        <f t="shared" si="6"/>
        <v>74.99531890994761</v>
      </c>
      <c r="S12" s="21">
        <f t="shared" si="6"/>
        <v>73.87831404558908</v>
      </c>
      <c r="T12" s="21">
        <f t="shared" si="6"/>
        <v>68.02198017511405</v>
      </c>
      <c r="U12" s="21">
        <f t="shared" si="6"/>
        <v>71.29403754003324</v>
      </c>
      <c r="V12" s="21">
        <f t="shared" si="6"/>
        <v>58.202551374559135</v>
      </c>
      <c r="W12" s="21">
        <f t="shared" si="6"/>
        <v>48.391749845623046</v>
      </c>
      <c r="X12" s="21">
        <f t="shared" si="6"/>
        <v>43.69909391151961</v>
      </c>
      <c r="Y12" s="21">
        <f t="shared" si="6"/>
        <v>47.38467633852835</v>
      </c>
      <c r="Z12" s="21">
        <f>(Z10+Z7+Z4)/3</f>
        <v>33.258201496993735</v>
      </c>
      <c r="AA12" s="21">
        <f>(AA10+AA7+AA4)/3</f>
        <v>34.75177916263896</v>
      </c>
      <c r="AB12" s="21">
        <f>(AB10+AB7+AB4)/3</f>
        <v>37.76494197697732</v>
      </c>
      <c r="AC12" s="21">
        <f>(AC10+AC7+AC4)/3</f>
        <v>36.77630349114135</v>
      </c>
      <c r="AD12" s="21">
        <f>(AD10+AD7+AD4)/3</f>
        <v>38.716740437345884</v>
      </c>
      <c r="AE12" s="17"/>
    </row>
    <row r="13" spans="1:31" ht="12.75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 t="s">
        <v>55</v>
      </c>
      <c r="S13" s="18" t="s">
        <v>55</v>
      </c>
      <c r="T13" s="18" t="s">
        <v>55</v>
      </c>
      <c r="U13" s="18" t="s">
        <v>55</v>
      </c>
      <c r="V13" s="18" t="s">
        <v>54</v>
      </c>
      <c r="W13" s="18" t="s">
        <v>45</v>
      </c>
      <c r="X13" s="18" t="s">
        <v>26</v>
      </c>
      <c r="Y13" s="18" t="s">
        <v>45</v>
      </c>
      <c r="Z13" s="17" t="s">
        <v>73</v>
      </c>
      <c r="AA13" s="17"/>
      <c r="AB13" s="17"/>
      <c r="AC13" s="17"/>
      <c r="AD13" s="17"/>
      <c r="AE13" s="17"/>
    </row>
    <row r="14" spans="1:31" ht="12.75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20"/>
      <c r="S14" s="20"/>
      <c r="T14" s="20"/>
      <c r="U14" s="20"/>
      <c r="V14" s="20"/>
      <c r="W14" s="18"/>
      <c r="X14" s="18"/>
      <c r="Y14" s="18"/>
      <c r="Z14" s="17"/>
      <c r="AA14" s="17"/>
      <c r="AB14" s="17"/>
      <c r="AC14" s="17"/>
      <c r="AD14" s="17"/>
      <c r="AE14" s="17"/>
    </row>
    <row r="15" spans="1:31" ht="12.75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 t="s">
        <v>53</v>
      </c>
      <c r="Q15" s="18"/>
      <c r="R15" s="20"/>
      <c r="S15" s="20"/>
      <c r="T15" s="20"/>
      <c r="U15" s="20"/>
      <c r="V15" s="20"/>
      <c r="W15" s="18"/>
      <c r="X15" s="18"/>
      <c r="Y15" s="18"/>
      <c r="Z15" s="17"/>
      <c r="AA15" s="17"/>
      <c r="AB15" s="17"/>
      <c r="AC15" s="17"/>
      <c r="AD15" s="17"/>
      <c r="AE15" s="17"/>
    </row>
    <row r="16" spans="1:31" ht="12.75">
      <c r="A16" s="18" t="s">
        <v>52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1988</v>
      </c>
      <c r="R16" s="22">
        <v>1991</v>
      </c>
      <c r="S16" s="22">
        <v>1992</v>
      </c>
      <c r="T16" s="22">
        <v>1993</v>
      </c>
      <c r="U16" s="22">
        <v>1994</v>
      </c>
      <c r="V16" s="22">
        <v>1995</v>
      </c>
      <c r="W16" s="18">
        <v>1996</v>
      </c>
      <c r="X16" s="18">
        <v>1997</v>
      </c>
      <c r="Y16" s="18">
        <v>1998</v>
      </c>
      <c r="Z16" s="17">
        <v>1999</v>
      </c>
      <c r="AA16" s="17">
        <v>2000</v>
      </c>
      <c r="AB16" s="17">
        <v>2001</v>
      </c>
      <c r="AC16" s="17">
        <v>2002</v>
      </c>
      <c r="AD16" s="17">
        <v>2003</v>
      </c>
      <c r="AE16" s="17"/>
    </row>
    <row r="17" spans="1:31" ht="12.75">
      <c r="A17" s="18"/>
      <c r="B17" s="18">
        <v>1988</v>
      </c>
      <c r="C17" s="18">
        <v>1991</v>
      </c>
      <c r="D17" s="18">
        <v>1992</v>
      </c>
      <c r="E17" s="18">
        <v>1993</v>
      </c>
      <c r="F17" s="18">
        <v>1994</v>
      </c>
      <c r="G17" s="18">
        <v>1995</v>
      </c>
      <c r="H17" s="18">
        <v>1996</v>
      </c>
      <c r="I17" s="18">
        <v>1997</v>
      </c>
      <c r="J17" s="18">
        <v>1998</v>
      </c>
      <c r="K17" s="18">
        <v>1999</v>
      </c>
      <c r="L17" s="18">
        <v>2000</v>
      </c>
      <c r="M17" s="18">
        <v>2001</v>
      </c>
      <c r="N17" s="18">
        <v>2002</v>
      </c>
      <c r="O17" s="18">
        <v>2003</v>
      </c>
      <c r="P17" s="18" t="s">
        <v>51</v>
      </c>
      <c r="Q17" s="18"/>
      <c r="R17" s="20">
        <f aca="true" t="shared" si="7" ref="R17:AD17">LN(C11)</f>
        <v>1.3837912309017721</v>
      </c>
      <c r="S17" s="20">
        <f t="shared" si="7"/>
        <v>2.4664031782234406</v>
      </c>
      <c r="T17" s="20">
        <f t="shared" si="7"/>
        <v>2.667228206581955</v>
      </c>
      <c r="U17" s="20">
        <f t="shared" si="7"/>
        <v>3.2733640101522705</v>
      </c>
      <c r="V17" s="20">
        <f t="shared" si="7"/>
        <v>2.3942522815198695</v>
      </c>
      <c r="W17" s="20">
        <f t="shared" si="7"/>
        <v>1.1969481893889715</v>
      </c>
      <c r="X17" s="20">
        <f t="shared" si="7"/>
        <v>0.8424288832756998</v>
      </c>
      <c r="Y17" s="20">
        <f t="shared" si="7"/>
        <v>1.33500106673234</v>
      </c>
      <c r="Z17" s="20">
        <f t="shared" si="7"/>
        <v>1.4350845252893227</v>
      </c>
      <c r="AA17" s="20">
        <f t="shared" si="7"/>
        <v>1.8309801823813363</v>
      </c>
      <c r="AB17" s="20">
        <f t="shared" si="7"/>
        <v>2.341805806147327</v>
      </c>
      <c r="AC17" s="20">
        <f t="shared" si="7"/>
        <v>2.2082744135228043</v>
      </c>
      <c r="AD17" s="20">
        <f t="shared" si="7"/>
        <v>2.302585092994046</v>
      </c>
      <c r="AE17" s="17"/>
    </row>
    <row r="18" spans="1:31" ht="12.75">
      <c r="A18" s="18" t="s">
        <v>44</v>
      </c>
      <c r="B18" s="20">
        <f aca="true" t="shared" si="8" ref="B18:O18">LN(B6)</f>
        <v>0.4855078157817008</v>
      </c>
      <c r="C18" s="20">
        <f t="shared" si="8"/>
        <v>0.7747271675523681</v>
      </c>
      <c r="D18" s="20">
        <f t="shared" si="8"/>
        <v>0.7419373447293773</v>
      </c>
      <c r="E18" s="20">
        <f t="shared" si="8"/>
        <v>1.0438040521731147</v>
      </c>
      <c r="F18" s="20">
        <f t="shared" si="8"/>
        <v>0.5822156198526637</v>
      </c>
      <c r="G18" s="20">
        <f t="shared" si="8"/>
        <v>0.7608058290337602</v>
      </c>
      <c r="H18" s="20">
        <f t="shared" si="8"/>
        <v>1.5810384379124025</v>
      </c>
      <c r="I18" s="20">
        <f t="shared" si="8"/>
        <v>1.1314021114911006</v>
      </c>
      <c r="J18" s="20">
        <f t="shared" si="8"/>
        <v>0.9669838461896731</v>
      </c>
      <c r="K18" s="20">
        <f t="shared" si="8"/>
        <v>0.7419373447293773</v>
      </c>
      <c r="L18" s="20">
        <f t="shared" si="8"/>
        <v>0.8878912573524571</v>
      </c>
      <c r="M18" s="20">
        <f t="shared" si="8"/>
        <v>0.6931471805599453</v>
      </c>
      <c r="N18" s="20">
        <f t="shared" si="8"/>
        <v>0.8329091229351039</v>
      </c>
      <c r="O18" s="20">
        <f t="shared" si="8"/>
        <v>0.6418538861723947</v>
      </c>
      <c r="P18" s="18"/>
      <c r="Q18" s="18"/>
      <c r="R18" s="20">
        <f aca="true" t="shared" si="9" ref="R18:AD18">20+(14.42*R17)</f>
        <v>39.95426954960355</v>
      </c>
      <c r="S18" s="20">
        <f t="shared" si="9"/>
        <v>55.565533829982016</v>
      </c>
      <c r="T18" s="20">
        <f t="shared" si="9"/>
        <v>58.46143073891179</v>
      </c>
      <c r="U18" s="20">
        <f t="shared" si="9"/>
        <v>67.20190902639574</v>
      </c>
      <c r="V18" s="20">
        <f t="shared" si="9"/>
        <v>54.525117899516516</v>
      </c>
      <c r="W18" s="20">
        <f t="shared" si="9"/>
        <v>37.25999289098897</v>
      </c>
      <c r="X18" s="20">
        <f t="shared" si="9"/>
        <v>32.14782449683559</v>
      </c>
      <c r="Y18" s="20">
        <f t="shared" si="9"/>
        <v>39.25071538228035</v>
      </c>
      <c r="Z18" s="20">
        <f t="shared" si="9"/>
        <v>40.693918854672035</v>
      </c>
      <c r="AA18" s="20">
        <f t="shared" si="9"/>
        <v>46.40273422993887</v>
      </c>
      <c r="AB18" s="20">
        <f t="shared" si="9"/>
        <v>53.76883972464446</v>
      </c>
      <c r="AC18" s="20">
        <f t="shared" si="9"/>
        <v>51.843317042998834</v>
      </c>
      <c r="AD18" s="20">
        <f t="shared" si="9"/>
        <v>53.20327704097414</v>
      </c>
      <c r="AE18" s="17"/>
    </row>
    <row r="19" spans="1:31" ht="12.75">
      <c r="A19" s="18"/>
      <c r="B19" s="20">
        <f aca="true" t="shared" si="10" ref="B19:O19">60-(14.41*B18)</f>
        <v>53.00383237458569</v>
      </c>
      <c r="C19" s="20">
        <f t="shared" si="10"/>
        <v>48.836181515570374</v>
      </c>
      <c r="D19" s="20">
        <f t="shared" si="10"/>
        <v>49.30868286244967</v>
      </c>
      <c r="E19" s="20">
        <f t="shared" si="10"/>
        <v>44.95878360818541</v>
      </c>
      <c r="F19" s="20">
        <f t="shared" si="10"/>
        <v>51.61027291792311</v>
      </c>
      <c r="G19" s="20">
        <f t="shared" si="10"/>
        <v>49.03678800362351</v>
      </c>
      <c r="H19" s="20">
        <f t="shared" si="10"/>
        <v>37.217236109682275</v>
      </c>
      <c r="I19" s="20">
        <f t="shared" si="10"/>
        <v>43.696495573413245</v>
      </c>
      <c r="J19" s="20">
        <f t="shared" si="10"/>
        <v>46.065762776406814</v>
      </c>
      <c r="K19" s="20">
        <f t="shared" si="10"/>
        <v>49.30868286244967</v>
      </c>
      <c r="L19" s="20">
        <f t="shared" si="10"/>
        <v>47.20548698155109</v>
      </c>
      <c r="M19" s="20">
        <f t="shared" si="10"/>
        <v>50.011749128131186</v>
      </c>
      <c r="N19" s="20">
        <f t="shared" si="10"/>
        <v>47.997779538505156</v>
      </c>
      <c r="O19" s="20">
        <f t="shared" si="10"/>
        <v>50.75088550025579</v>
      </c>
      <c r="P19" s="18"/>
      <c r="Q19" s="18"/>
      <c r="R19" s="20"/>
      <c r="S19" s="20"/>
      <c r="T19" s="20"/>
      <c r="U19" s="20"/>
      <c r="V19" s="20"/>
      <c r="W19" s="20"/>
      <c r="X19" s="20"/>
      <c r="Y19" s="20"/>
      <c r="Z19" s="20"/>
      <c r="AA19" s="17"/>
      <c r="AB19" s="17"/>
      <c r="AC19" s="17"/>
      <c r="AD19" s="17"/>
      <c r="AE19" s="17"/>
    </row>
    <row r="20" spans="1:3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 t="s">
        <v>50</v>
      </c>
      <c r="Q20" s="18"/>
      <c r="R20" s="20">
        <f aca="true" t="shared" si="11" ref="R20:AD20">LN(C10)</f>
        <v>5.256609563148246</v>
      </c>
      <c r="S20" s="20">
        <f t="shared" si="11"/>
        <v>5.2021368080740675</v>
      </c>
      <c r="T20" s="20">
        <f t="shared" si="11"/>
        <v>5.332235584751498</v>
      </c>
      <c r="U20" s="20">
        <f t="shared" si="11"/>
        <v>4.524719061590464</v>
      </c>
      <c r="V20" s="20">
        <f t="shared" si="11"/>
        <v>4.067315889834181</v>
      </c>
      <c r="W20" s="20">
        <f t="shared" si="11"/>
        <v>3.6282548322975017</v>
      </c>
      <c r="X20" s="20">
        <f t="shared" si="11"/>
        <v>2.6667320418459206</v>
      </c>
      <c r="Y20" s="20">
        <f t="shared" si="11"/>
        <v>2.747270914255491</v>
      </c>
      <c r="Z20" s="20">
        <f t="shared" si="11"/>
        <v>3.299533727885655</v>
      </c>
      <c r="AA20" s="20">
        <f t="shared" si="11"/>
        <v>2.70805020110221</v>
      </c>
      <c r="AB20" s="20">
        <f t="shared" si="11"/>
        <v>3.4011973816621555</v>
      </c>
      <c r="AC20" s="20">
        <f t="shared" si="11"/>
        <v>3.2188758248682006</v>
      </c>
      <c r="AD20" s="20">
        <f t="shared" si="11"/>
        <v>3.6375861597263857</v>
      </c>
      <c r="AE20" s="17"/>
    </row>
    <row r="21" spans="1:31" ht="12.75">
      <c r="A21" s="18" t="s">
        <v>43</v>
      </c>
      <c r="B21" s="20">
        <f aca="true" t="shared" si="12" ref="B21:O21">LN(B5)</f>
        <v>2.011086222015564</v>
      </c>
      <c r="C21" s="20">
        <f t="shared" si="12"/>
        <v>3.054944133185837</v>
      </c>
      <c r="D21" s="20">
        <f t="shared" si="12"/>
        <v>2.944965156500338</v>
      </c>
      <c r="E21" s="20">
        <f t="shared" si="12"/>
        <v>2.186051276738094</v>
      </c>
      <c r="F21" s="20">
        <f t="shared" si="12"/>
        <v>3.0170044088295307</v>
      </c>
      <c r="G21" s="20">
        <f t="shared" si="12"/>
        <v>1.6272778305624314</v>
      </c>
      <c r="H21" s="20">
        <f t="shared" si="12"/>
        <v>1.3609765531356006</v>
      </c>
      <c r="I21" s="20">
        <f t="shared" si="12"/>
        <v>0.8329091229351039</v>
      </c>
      <c r="J21" s="20">
        <f t="shared" si="12"/>
        <v>1.3887912413184778</v>
      </c>
      <c r="K21" s="20">
        <f t="shared" si="12"/>
        <v>1.4586150226995167</v>
      </c>
      <c r="L21" s="20">
        <f t="shared" si="12"/>
        <v>1.9740810260220096</v>
      </c>
      <c r="M21" s="20">
        <f t="shared" si="12"/>
        <v>2.2617630984737906</v>
      </c>
      <c r="N21" s="20">
        <f t="shared" si="12"/>
        <v>2.2823823856765264</v>
      </c>
      <c r="O21" s="20">
        <f t="shared" si="12"/>
        <v>2.3702437414678603</v>
      </c>
      <c r="P21" s="18"/>
      <c r="Q21" s="18"/>
      <c r="R21" s="20">
        <f aca="true" t="shared" si="13" ref="R21:Y21">(20.02*R20)</f>
        <v>105.23732345422789</v>
      </c>
      <c r="S21" s="20">
        <f t="shared" si="13"/>
        <v>104.14677889764283</v>
      </c>
      <c r="T21" s="20">
        <f t="shared" si="13"/>
        <v>106.75135640672498</v>
      </c>
      <c r="U21" s="20">
        <f t="shared" si="13"/>
        <v>90.58487561304109</v>
      </c>
      <c r="V21" s="20">
        <f t="shared" si="13"/>
        <v>81.42766411448031</v>
      </c>
      <c r="W21" s="20">
        <f t="shared" si="13"/>
        <v>72.63766174259598</v>
      </c>
      <c r="X21" s="20">
        <f t="shared" si="13"/>
        <v>53.387975477755326</v>
      </c>
      <c r="Y21" s="20">
        <f t="shared" si="13"/>
        <v>55.00036370339493</v>
      </c>
      <c r="Z21" s="20">
        <f>LN(K11)</f>
        <v>1.4350845252893227</v>
      </c>
      <c r="AA21" s="20">
        <f>LN(L11)</f>
        <v>1.8309801823813363</v>
      </c>
      <c r="AB21" s="20">
        <f>LN(M11)</f>
        <v>2.341805806147327</v>
      </c>
      <c r="AC21" s="20">
        <f>LN(N11)</f>
        <v>2.2082744135228043</v>
      </c>
      <c r="AD21" s="20">
        <f>LN(O11)</f>
        <v>2.302585092994046</v>
      </c>
      <c r="AE21" s="17"/>
    </row>
    <row r="22" spans="1:31" ht="12.75">
      <c r="A22" s="18"/>
      <c r="B22" s="20">
        <f aca="true" t="shared" si="14" ref="B22:O22">(9.81*B21)+30.6</f>
        <v>50.32875583797268</v>
      </c>
      <c r="C22" s="20">
        <f t="shared" si="14"/>
        <v>60.56900194655306</v>
      </c>
      <c r="D22" s="20">
        <f t="shared" si="14"/>
        <v>59.49010818526831</v>
      </c>
      <c r="E22" s="20">
        <f t="shared" si="14"/>
        <v>52.04516302480071</v>
      </c>
      <c r="F22" s="20">
        <f t="shared" si="14"/>
        <v>60.196813250617694</v>
      </c>
      <c r="G22" s="20">
        <f t="shared" si="14"/>
        <v>46.563595517817454</v>
      </c>
      <c r="H22" s="20">
        <f t="shared" si="14"/>
        <v>43.95117998626024</v>
      </c>
      <c r="I22" s="20">
        <f t="shared" si="14"/>
        <v>38.770838495993374</v>
      </c>
      <c r="J22" s="20">
        <f t="shared" si="14"/>
        <v>44.22404207733427</v>
      </c>
      <c r="K22" s="20">
        <f t="shared" si="14"/>
        <v>44.90901337268226</v>
      </c>
      <c r="L22" s="20">
        <f t="shared" si="14"/>
        <v>49.96573486527592</v>
      </c>
      <c r="M22" s="20">
        <f t="shared" si="14"/>
        <v>52.787895996027885</v>
      </c>
      <c r="N22" s="20">
        <f t="shared" si="14"/>
        <v>52.990171203486724</v>
      </c>
      <c r="O22" s="20">
        <f t="shared" si="14"/>
        <v>53.85209110379971</v>
      </c>
      <c r="P22" s="18"/>
      <c r="Q22" s="18"/>
      <c r="R22" s="20"/>
      <c r="S22" s="20"/>
      <c r="T22" s="20"/>
      <c r="U22" s="20"/>
      <c r="V22" s="20"/>
      <c r="W22" s="20"/>
      <c r="X22" s="20"/>
      <c r="Y22" s="17"/>
      <c r="Z22" s="17"/>
      <c r="AA22" s="17"/>
      <c r="AB22" s="17"/>
      <c r="AC22" s="17"/>
      <c r="AD22" s="17"/>
      <c r="AE22" s="17"/>
    </row>
    <row r="23" spans="1:3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8" t="s">
        <v>49</v>
      </c>
      <c r="Q23" s="18"/>
      <c r="R23" s="20">
        <f aca="true" t="shared" si="15" ref="R23:AD23">LN(1/C12-0.08)</f>
        <v>-0.8852504124795058</v>
      </c>
      <c r="S23" s="20">
        <f t="shared" si="15"/>
        <v>-0.9372638552544341</v>
      </c>
      <c r="T23" s="20">
        <f t="shared" si="15"/>
        <v>-0.998503205839816</v>
      </c>
      <c r="U23" s="20">
        <f t="shared" si="15"/>
        <v>-0.6768107612402517</v>
      </c>
      <c r="V23" s="20">
        <f t="shared" si="15"/>
        <v>-0.31958340121365647</v>
      </c>
      <c r="W23" s="20">
        <f t="shared" si="15"/>
        <v>-2.4456859366347192</v>
      </c>
      <c r="X23" s="20">
        <f t="shared" si="15"/>
        <v>-1.5004476287256954</v>
      </c>
      <c r="Y23" s="20">
        <f t="shared" si="15"/>
        <v>-1.1887053321951477</v>
      </c>
      <c r="Z23" s="20">
        <f t="shared" si="15"/>
        <v>-0.8067285293626288</v>
      </c>
      <c r="AA23" s="20">
        <f t="shared" si="15"/>
        <v>-1.0093811549401672</v>
      </c>
      <c r="AB23" s="20">
        <f t="shared" si="15"/>
        <v>-0.8067285293626288</v>
      </c>
      <c r="AC23" s="20">
        <f t="shared" si="15"/>
        <v>-1.1394342831883648</v>
      </c>
      <c r="AD23" s="20">
        <f t="shared" si="15"/>
        <v>-0.7432715677425139</v>
      </c>
      <c r="AE23" s="17"/>
    </row>
    <row r="24" spans="1:31" ht="12.75">
      <c r="A24" s="18" t="s">
        <v>42</v>
      </c>
      <c r="B24" s="20">
        <f aca="true" t="shared" si="16" ref="B24:O24">LN(B4)</f>
        <v>5.111987788356544</v>
      </c>
      <c r="C24" s="20">
        <f t="shared" si="16"/>
        <v>5.215804944973573</v>
      </c>
      <c r="D24" s="20">
        <f t="shared" si="16"/>
        <v>5.089199986966919</v>
      </c>
      <c r="E24" s="20">
        <f t="shared" si="16"/>
        <v>5.1234281215713775</v>
      </c>
      <c r="F24" s="20">
        <f t="shared" si="16"/>
        <v>4.466252886801422</v>
      </c>
      <c r="G24" s="20">
        <f t="shared" si="16"/>
        <v>3.711374531941307</v>
      </c>
      <c r="H24" s="20">
        <f t="shared" si="16"/>
        <v>3.5263605246161616</v>
      </c>
      <c r="I24" s="20">
        <f t="shared" si="16"/>
        <v>2.5649493574615367</v>
      </c>
      <c r="J24" s="20">
        <f t="shared" si="16"/>
        <v>2.509599262378372</v>
      </c>
      <c r="K24" s="20">
        <f t="shared" si="16"/>
        <v>2.995732273553991</v>
      </c>
      <c r="L24" s="20">
        <f t="shared" si="16"/>
        <v>3.044522437723423</v>
      </c>
      <c r="M24" s="20">
        <f t="shared" si="16"/>
        <v>3.4011973816621555</v>
      </c>
      <c r="N24" s="20">
        <f t="shared" si="16"/>
        <v>3.131136910560194</v>
      </c>
      <c r="O24" s="20">
        <f t="shared" si="16"/>
        <v>3.4688560301359703</v>
      </c>
      <c r="P24" s="18"/>
      <c r="Q24" s="18"/>
      <c r="R24" s="20">
        <f aca="true" t="shared" si="17" ref="R24:AD24">75.3+(19.46*R23)</f>
        <v>58.073026973148814</v>
      </c>
      <c r="S24" s="20">
        <f t="shared" si="17"/>
        <v>57.06084537674871</v>
      </c>
      <c r="T24" s="20">
        <f t="shared" si="17"/>
        <v>55.869127614357176</v>
      </c>
      <c r="U24" s="20">
        <f t="shared" si="17"/>
        <v>62.1292625862647</v>
      </c>
      <c r="V24" s="20">
        <f t="shared" si="17"/>
        <v>69.08090701238224</v>
      </c>
      <c r="W24" s="20">
        <f t="shared" si="17"/>
        <v>27.706951673088362</v>
      </c>
      <c r="X24" s="20">
        <f t="shared" si="17"/>
        <v>46.10128914499796</v>
      </c>
      <c r="Y24" s="20">
        <f t="shared" si="17"/>
        <v>52.16779423548242</v>
      </c>
      <c r="Z24" s="20">
        <f t="shared" si="17"/>
        <v>59.60106281860324</v>
      </c>
      <c r="AA24" s="20">
        <f t="shared" si="17"/>
        <v>55.65744272486434</v>
      </c>
      <c r="AB24" s="20">
        <f t="shared" si="17"/>
        <v>59.60106281860324</v>
      </c>
      <c r="AC24" s="20">
        <f t="shared" si="17"/>
        <v>53.126608849154415</v>
      </c>
      <c r="AD24" s="20">
        <f t="shared" si="17"/>
        <v>60.83593529173068</v>
      </c>
      <c r="AE24" s="17"/>
    </row>
    <row r="25" spans="1:31" ht="12.75">
      <c r="A25" s="18"/>
      <c r="B25" s="20">
        <f aca="true" t="shared" si="18" ref="B25:O25">(14.42*B24)+4.15</f>
        <v>77.86486390810137</v>
      </c>
      <c r="C25" s="20">
        <f t="shared" si="18"/>
        <v>79.36190730651892</v>
      </c>
      <c r="D25" s="20">
        <f t="shared" si="18"/>
        <v>77.53626381206297</v>
      </c>
      <c r="E25" s="20">
        <f t="shared" si="18"/>
        <v>78.02983351305927</v>
      </c>
      <c r="F25" s="20">
        <f t="shared" si="18"/>
        <v>68.55336662767651</v>
      </c>
      <c r="G25" s="20">
        <f t="shared" si="18"/>
        <v>57.66802075059365</v>
      </c>
      <c r="H25" s="20">
        <f t="shared" si="18"/>
        <v>55.000118764965045</v>
      </c>
      <c r="I25" s="20">
        <f t="shared" si="18"/>
        <v>41.136569734595355</v>
      </c>
      <c r="J25" s="20">
        <f t="shared" si="18"/>
        <v>40.338421363496124</v>
      </c>
      <c r="K25" s="20">
        <f t="shared" si="18"/>
        <v>47.34845938464855</v>
      </c>
      <c r="L25" s="20">
        <f t="shared" si="18"/>
        <v>48.05201355197176</v>
      </c>
      <c r="M25" s="20">
        <f t="shared" si="18"/>
        <v>53.19526624356828</v>
      </c>
      <c r="N25" s="20">
        <f t="shared" si="18"/>
        <v>49.300994250277995</v>
      </c>
      <c r="O25" s="20">
        <f t="shared" si="18"/>
        <v>54.17090395456069</v>
      </c>
      <c r="P25" s="18"/>
      <c r="Q25" s="18"/>
      <c r="R25" s="18"/>
      <c r="S25" s="18"/>
      <c r="T25" s="18"/>
      <c r="U25" s="18"/>
      <c r="V25" s="18"/>
      <c r="W25" s="18"/>
      <c r="X25" s="18"/>
      <c r="Y25" s="17"/>
      <c r="Z25" s="17"/>
      <c r="AA25" s="17"/>
      <c r="AB25" s="17"/>
      <c r="AC25" s="17"/>
      <c r="AD25" s="17"/>
      <c r="AE25" s="17"/>
    </row>
    <row r="26" spans="1:3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  <c r="P26" s="18" t="s">
        <v>48</v>
      </c>
      <c r="Q26" s="18"/>
      <c r="R26" s="21">
        <f aca="true" t="shared" si="19" ref="R26:Y26">(R24+R21+R18)/3</f>
        <v>67.75487332566009</v>
      </c>
      <c r="S26" s="21">
        <f t="shared" si="19"/>
        <v>72.25771936812453</v>
      </c>
      <c r="T26" s="21">
        <f t="shared" si="19"/>
        <v>73.69397158666465</v>
      </c>
      <c r="U26" s="21">
        <f t="shared" si="19"/>
        <v>73.30534907523385</v>
      </c>
      <c r="V26" s="21">
        <f t="shared" si="19"/>
        <v>68.34456300879302</v>
      </c>
      <c r="W26" s="21">
        <f t="shared" si="19"/>
        <v>45.86820210222444</v>
      </c>
      <c r="X26" s="21">
        <f t="shared" si="19"/>
        <v>43.87902970652963</v>
      </c>
      <c r="Y26" s="21">
        <f t="shared" si="19"/>
        <v>48.80629110705257</v>
      </c>
      <c r="Z26" s="21">
        <f>(Z24+Z21+Z18)/3</f>
        <v>33.9100220661882</v>
      </c>
      <c r="AA26" s="21">
        <f>(AA24+AA21+AA18)/3</f>
        <v>34.63038571239485</v>
      </c>
      <c r="AB26" s="21">
        <f>(AB24+AB21+AB18)/3</f>
        <v>38.57056944979834</v>
      </c>
      <c r="AC26" s="21">
        <f>(AC24+AC21+AC18)/3</f>
        <v>35.72606676855869</v>
      </c>
      <c r="AD26" s="21">
        <f>(AD24+AD21+AD18)/3</f>
        <v>38.78059914189962</v>
      </c>
      <c r="AE26" s="17"/>
    </row>
    <row r="27" spans="1:31" ht="12.75">
      <c r="A27" s="18" t="s">
        <v>47</v>
      </c>
      <c r="B27" s="18"/>
      <c r="C27" s="18"/>
      <c r="D27" s="18"/>
      <c r="E27" s="18"/>
      <c r="F27" s="18"/>
      <c r="G27" s="18"/>
      <c r="H27" s="18"/>
      <c r="I27" s="18"/>
      <c r="J27" s="17"/>
      <c r="K27" s="18"/>
      <c r="L27" s="18"/>
      <c r="M27" s="18"/>
      <c r="N27" s="18"/>
      <c r="O27" s="18"/>
      <c r="P27" s="18"/>
      <c r="Q27" s="18"/>
      <c r="R27" s="18" t="s">
        <v>46</v>
      </c>
      <c r="S27" s="18" t="s">
        <v>46</v>
      </c>
      <c r="T27" s="18" t="s">
        <v>46</v>
      </c>
      <c r="U27" s="18" t="s">
        <v>46</v>
      </c>
      <c r="V27" s="18" t="s">
        <v>46</v>
      </c>
      <c r="W27" s="17" t="s">
        <v>45</v>
      </c>
      <c r="X27" s="17" t="s">
        <v>26</v>
      </c>
      <c r="Y27" s="17" t="s">
        <v>45</v>
      </c>
      <c r="Z27" s="17" t="s">
        <v>73</v>
      </c>
      <c r="AA27" s="17"/>
      <c r="AB27" s="17"/>
      <c r="AC27" s="17"/>
      <c r="AD27" s="17"/>
      <c r="AE27" s="17"/>
    </row>
    <row r="28" spans="1:31" ht="12.75">
      <c r="A28" s="18"/>
      <c r="B28" s="18"/>
      <c r="C28" s="18">
        <v>1991</v>
      </c>
      <c r="D28" s="18">
        <v>1992</v>
      </c>
      <c r="E28" s="18">
        <v>1993</v>
      </c>
      <c r="F28" s="18">
        <v>1994</v>
      </c>
      <c r="G28" s="18">
        <v>1995</v>
      </c>
      <c r="H28" s="18">
        <v>1996</v>
      </c>
      <c r="I28" s="18">
        <v>1997</v>
      </c>
      <c r="J28" s="17">
        <v>1998</v>
      </c>
      <c r="K28" s="18">
        <v>1999</v>
      </c>
      <c r="L28" s="18">
        <v>2000</v>
      </c>
      <c r="M28" s="18">
        <v>2001</v>
      </c>
      <c r="N28" s="18">
        <v>2002</v>
      </c>
      <c r="O28" s="18">
        <v>2003</v>
      </c>
      <c r="P28" s="18"/>
      <c r="Q28" s="18"/>
      <c r="R28" s="18"/>
      <c r="S28" s="18"/>
      <c r="T28" s="18"/>
      <c r="U28" s="18"/>
      <c r="V28" s="18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12.75">
      <c r="A29" s="18" t="s">
        <v>18</v>
      </c>
      <c r="B29" s="18"/>
      <c r="C29" s="20">
        <f aca="true" t="shared" si="20" ref="C29:O29">LN(C12)</f>
        <v>0.7080357930536959</v>
      </c>
      <c r="D29" s="20">
        <f t="shared" si="20"/>
        <v>0.7514160886839212</v>
      </c>
      <c r="E29" s="20">
        <f t="shared" si="20"/>
        <v>0.8020015854720274</v>
      </c>
      <c r="F29" s="20">
        <f t="shared" si="20"/>
        <v>0.5306282510621704</v>
      </c>
      <c r="G29" s="20">
        <f t="shared" si="20"/>
        <v>0.2151113796169455</v>
      </c>
      <c r="H29" s="20">
        <f t="shared" si="20"/>
        <v>1.791759469228055</v>
      </c>
      <c r="I29" s="20">
        <f t="shared" si="20"/>
        <v>1.1939224684724346</v>
      </c>
      <c r="J29" s="20">
        <f t="shared" si="20"/>
        <v>0.9555114450274363</v>
      </c>
      <c r="K29" s="20">
        <f t="shared" si="20"/>
        <v>0.6418538861723947</v>
      </c>
      <c r="L29" s="20">
        <f t="shared" si="20"/>
        <v>0.8109302162163288</v>
      </c>
      <c r="M29" s="20">
        <f t="shared" si="20"/>
        <v>0.6418538861723947</v>
      </c>
      <c r="N29" s="20">
        <f t="shared" si="20"/>
        <v>0.9162907318741551</v>
      </c>
      <c r="O29" s="20">
        <f t="shared" si="20"/>
        <v>0.5877866649021191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12.75">
      <c r="A30" s="18"/>
      <c r="B30" s="18"/>
      <c r="C30" s="20">
        <f aca="true" t="shared" si="21" ref="C30:O30">60-(14.41*C29)</f>
        <v>49.79720422209624</v>
      </c>
      <c r="D30" s="20">
        <f t="shared" si="21"/>
        <v>49.172094162064695</v>
      </c>
      <c r="E30" s="20">
        <f t="shared" si="21"/>
        <v>48.44315715334808</v>
      </c>
      <c r="F30" s="20">
        <f t="shared" si="21"/>
        <v>52.35364690219413</v>
      </c>
      <c r="G30" s="20">
        <f t="shared" si="21"/>
        <v>56.90024501971982</v>
      </c>
      <c r="H30" s="20">
        <f t="shared" si="21"/>
        <v>34.18074604842373</v>
      </c>
      <c r="I30" s="20">
        <f t="shared" si="21"/>
        <v>42.795577229312215</v>
      </c>
      <c r="J30" s="20">
        <f t="shared" si="21"/>
        <v>46.231080077154644</v>
      </c>
      <c r="K30" s="20">
        <f t="shared" si="21"/>
        <v>50.75088550025579</v>
      </c>
      <c r="L30" s="20">
        <f t="shared" si="21"/>
        <v>48.3144955843227</v>
      </c>
      <c r="M30" s="20">
        <f t="shared" si="21"/>
        <v>50.75088550025579</v>
      </c>
      <c r="N30" s="20">
        <f t="shared" si="21"/>
        <v>46.796250553693426</v>
      </c>
      <c r="O30" s="20">
        <f t="shared" si="21"/>
        <v>51.529994158760466</v>
      </c>
      <c r="P30" s="18"/>
      <c r="Q30" s="18"/>
      <c r="R30" s="18"/>
      <c r="S30" s="18"/>
      <c r="T30" s="18"/>
      <c r="U30" s="18"/>
      <c r="V30" s="18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12.75">
      <c r="A31" s="18"/>
      <c r="B31" s="18"/>
      <c r="C31" s="20"/>
      <c r="D31" s="20"/>
      <c r="E31" s="20"/>
      <c r="F31" s="20"/>
      <c r="G31" s="20"/>
      <c r="H31" s="18"/>
      <c r="I31" s="18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2.75">
      <c r="A32" s="18" t="s">
        <v>16</v>
      </c>
      <c r="B32" s="18"/>
      <c r="C32" s="20">
        <f aca="true" t="shared" si="22" ref="C32:O32">LN(C11)</f>
        <v>1.3837912309017721</v>
      </c>
      <c r="D32" s="20">
        <f t="shared" si="22"/>
        <v>2.4664031782234406</v>
      </c>
      <c r="E32" s="20">
        <f t="shared" si="22"/>
        <v>2.667228206581955</v>
      </c>
      <c r="F32" s="20">
        <f t="shared" si="22"/>
        <v>3.2733640101522705</v>
      </c>
      <c r="G32" s="20">
        <f t="shared" si="22"/>
        <v>2.3942522815198695</v>
      </c>
      <c r="H32" s="20">
        <f t="shared" si="22"/>
        <v>1.1969481893889715</v>
      </c>
      <c r="I32" s="20">
        <f t="shared" si="22"/>
        <v>0.8424288832756998</v>
      </c>
      <c r="J32" s="20">
        <f t="shared" si="22"/>
        <v>1.33500106673234</v>
      </c>
      <c r="K32" s="20">
        <f t="shared" si="22"/>
        <v>1.4350845252893227</v>
      </c>
      <c r="L32" s="20">
        <f t="shared" si="22"/>
        <v>1.8309801823813363</v>
      </c>
      <c r="M32" s="20">
        <f t="shared" si="22"/>
        <v>2.341805806147327</v>
      </c>
      <c r="N32" s="20">
        <f t="shared" si="22"/>
        <v>2.2082744135228043</v>
      </c>
      <c r="O32" s="20">
        <f t="shared" si="22"/>
        <v>2.302585092994046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12.75">
      <c r="A33" s="18"/>
      <c r="B33" s="18"/>
      <c r="C33" s="20">
        <f aca="true" t="shared" si="23" ref="C33:O33">(9.81*C32)+30.6</f>
        <v>44.17499197514638</v>
      </c>
      <c r="D33" s="20">
        <f t="shared" si="23"/>
        <v>54.795415178371954</v>
      </c>
      <c r="E33" s="20">
        <f t="shared" si="23"/>
        <v>56.76550870656898</v>
      </c>
      <c r="F33" s="20">
        <f t="shared" si="23"/>
        <v>62.711700939593776</v>
      </c>
      <c r="G33" s="20">
        <f t="shared" si="23"/>
        <v>54.087614881709925</v>
      </c>
      <c r="H33" s="20">
        <f t="shared" si="23"/>
        <v>42.34206173790581</v>
      </c>
      <c r="I33" s="20">
        <f t="shared" si="23"/>
        <v>38.86422734493462</v>
      </c>
      <c r="J33" s="20">
        <f t="shared" si="23"/>
        <v>43.69636046464426</v>
      </c>
      <c r="K33" s="20">
        <f t="shared" si="23"/>
        <v>44.678179193088255</v>
      </c>
      <c r="L33" s="20">
        <f t="shared" si="23"/>
        <v>48.56191558916091</v>
      </c>
      <c r="M33" s="20">
        <f t="shared" si="23"/>
        <v>53.57311495830528</v>
      </c>
      <c r="N33" s="20">
        <f t="shared" si="23"/>
        <v>52.26317199665871</v>
      </c>
      <c r="O33" s="20">
        <f t="shared" si="23"/>
        <v>53.18835976227159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2.75">
      <c r="A34" s="18"/>
      <c r="B34" s="18"/>
      <c r="C34" s="20"/>
      <c r="D34" s="20"/>
      <c r="E34" s="20"/>
      <c r="F34" s="20"/>
      <c r="G34" s="20"/>
      <c r="H34" s="18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2.75">
      <c r="A35" s="18" t="s">
        <v>13</v>
      </c>
      <c r="B35" s="18"/>
      <c r="C35" s="20">
        <f aca="true" t="shared" si="24" ref="C35:K35">LN(C10)</f>
        <v>5.256609563148246</v>
      </c>
      <c r="D35" s="20">
        <f t="shared" si="24"/>
        <v>5.2021368080740675</v>
      </c>
      <c r="E35" s="20">
        <f t="shared" si="24"/>
        <v>5.332235584751498</v>
      </c>
      <c r="F35" s="20">
        <f t="shared" si="24"/>
        <v>4.524719061590464</v>
      </c>
      <c r="G35" s="20">
        <f t="shared" si="24"/>
        <v>4.067315889834181</v>
      </c>
      <c r="H35" s="20">
        <f t="shared" si="24"/>
        <v>3.6282548322975017</v>
      </c>
      <c r="I35" s="20">
        <f t="shared" si="24"/>
        <v>2.6667320418459206</v>
      </c>
      <c r="J35" s="20">
        <f t="shared" si="24"/>
        <v>2.747270914255491</v>
      </c>
      <c r="K35" s="20">
        <f t="shared" si="24"/>
        <v>3.299533727885655</v>
      </c>
      <c r="L35" s="20">
        <f>LN(L10)</f>
        <v>2.70805020110221</v>
      </c>
      <c r="M35" s="20">
        <f>LN(M10)</f>
        <v>3.4011973816621555</v>
      </c>
      <c r="N35" s="20">
        <f>LN(N10)</f>
        <v>3.2188758248682006</v>
      </c>
      <c r="O35" s="20">
        <f>LN(O10)</f>
        <v>3.6375861597263857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2.75">
      <c r="A36" s="18"/>
      <c r="B36" s="18"/>
      <c r="C36" s="20">
        <f aca="true" t="shared" si="25" ref="C36:O36">(14.42*C35)+4.15</f>
        <v>79.95030990059772</v>
      </c>
      <c r="D36" s="20">
        <f t="shared" si="25"/>
        <v>79.16481277242806</v>
      </c>
      <c r="E36" s="20">
        <f t="shared" si="25"/>
        <v>81.04083713211661</v>
      </c>
      <c r="F36" s="20">
        <f t="shared" si="25"/>
        <v>69.3964488681345</v>
      </c>
      <c r="G36" s="20">
        <f t="shared" si="25"/>
        <v>62.800695131408894</v>
      </c>
      <c r="H36" s="20">
        <f t="shared" si="25"/>
        <v>56.46943468172997</v>
      </c>
      <c r="I36" s="20">
        <f t="shared" si="25"/>
        <v>42.604276043418174</v>
      </c>
      <c r="J36" s="20">
        <f t="shared" si="25"/>
        <v>43.765646583564184</v>
      </c>
      <c r="K36" s="20">
        <f t="shared" si="25"/>
        <v>51.72927635611114</v>
      </c>
      <c r="L36" s="20">
        <f t="shared" si="25"/>
        <v>43.20008389989387</v>
      </c>
      <c r="M36" s="20">
        <f t="shared" si="25"/>
        <v>53.19526624356828</v>
      </c>
      <c r="N36" s="20">
        <f t="shared" si="25"/>
        <v>50.56618939459945</v>
      </c>
      <c r="O36" s="20">
        <f t="shared" si="25"/>
        <v>56.60399242325448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12.75">
      <c r="A42" s="17"/>
      <c r="B42" s="17"/>
      <c r="C42" s="17"/>
      <c r="D42" s="17"/>
      <c r="E42" s="17"/>
      <c r="F42" s="17"/>
      <c r="G42" s="114" t="s">
        <v>69</v>
      </c>
      <c r="H42" s="114" t="s">
        <v>77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ht="12.75">
      <c r="A43" s="17"/>
      <c r="B43" s="17"/>
      <c r="C43" s="17"/>
      <c r="D43" s="17"/>
      <c r="E43" s="17"/>
      <c r="F43" s="17"/>
      <c r="G43" s="114" t="s">
        <v>67</v>
      </c>
      <c r="H43" s="114" t="s">
        <v>76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1" ht="12.75">
      <c r="A44" s="17"/>
      <c r="B44" s="17"/>
      <c r="C44" s="17"/>
      <c r="D44" s="17"/>
      <c r="E44" s="17"/>
      <c r="F44" s="17"/>
      <c r="G44" s="114" t="s">
        <v>64</v>
      </c>
      <c r="H44" s="114" t="s">
        <v>75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31" ht="12.75">
      <c r="A45" s="17"/>
      <c r="B45" s="17"/>
      <c r="C45" s="17"/>
      <c r="D45" s="17"/>
      <c r="E45" s="17"/>
      <c r="F45" s="17"/>
      <c r="G45" s="114" t="s">
        <v>62</v>
      </c>
      <c r="H45" s="114" t="s">
        <v>74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2.75">
      <c r="A46" s="19" t="s">
        <v>41</v>
      </c>
      <c r="B46" s="18"/>
      <c r="C46" s="18" t="s">
        <v>40</v>
      </c>
      <c r="D46" s="18"/>
      <c r="E46" s="18"/>
      <c r="F46" s="18"/>
      <c r="G46" s="114" t="s">
        <v>60</v>
      </c>
      <c r="H46" s="114" t="s">
        <v>73</v>
      </c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ht="12.75">
      <c r="A47" s="19" t="s">
        <v>39</v>
      </c>
      <c r="B47" s="18"/>
      <c r="C47" s="18" t="s">
        <v>38</v>
      </c>
      <c r="D47" s="18"/>
      <c r="E47" s="18"/>
      <c r="F47" s="18"/>
      <c r="G47" s="114" t="s">
        <v>57</v>
      </c>
      <c r="H47" s="114" t="s">
        <v>72</v>
      </c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ht="12.75">
      <c r="A48" s="19" t="s">
        <v>37</v>
      </c>
      <c r="B48" s="18"/>
      <c r="C48" s="18" t="s">
        <v>36</v>
      </c>
      <c r="D48" s="18"/>
      <c r="E48" s="18"/>
      <c r="F48" s="18"/>
      <c r="G48" s="18"/>
      <c r="H48" s="18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1"/>
  <sheetViews>
    <sheetView workbookViewId="0" topLeftCell="D1">
      <selection activeCell="L39" sqref="L39"/>
    </sheetView>
  </sheetViews>
  <sheetFormatPr defaultColWidth="9.140625" defaultRowHeight="12.75"/>
  <cols>
    <col min="1" max="1" width="12.00390625" style="9" customWidth="1"/>
    <col min="2" max="2" width="10.57421875" style="9" customWidth="1"/>
    <col min="3" max="3" width="10.7109375" style="9" customWidth="1"/>
    <col min="4" max="7" width="9.140625" style="9" customWidth="1"/>
    <col min="8" max="8" width="11.421875" style="9" customWidth="1"/>
    <col min="9" max="16384" width="9.140625" style="9" customWidth="1"/>
  </cols>
  <sheetData>
    <row r="1" spans="1:2" ht="12.75">
      <c r="A1" s="9">
        <v>2003</v>
      </c>
      <c r="B1" s="9" t="s">
        <v>14</v>
      </c>
    </row>
    <row r="2" spans="2:5" ht="12.75">
      <c r="B2" s="2" t="s">
        <v>33</v>
      </c>
      <c r="C2" s="2" t="s">
        <v>16</v>
      </c>
      <c r="D2" s="2" t="s">
        <v>15</v>
      </c>
      <c r="E2" s="2"/>
    </row>
    <row r="3" spans="1:5" ht="12.75">
      <c r="A3" s="109" t="s">
        <v>78</v>
      </c>
      <c r="B3">
        <v>20</v>
      </c>
      <c r="C3">
        <v>12.9</v>
      </c>
      <c r="D3" s="8">
        <v>8</v>
      </c>
      <c r="E3" s="8" t="s">
        <v>78</v>
      </c>
    </row>
    <row r="4" spans="1:5" ht="12.75">
      <c r="A4" s="109" t="s">
        <v>0</v>
      </c>
      <c r="B4">
        <v>20</v>
      </c>
      <c r="C4">
        <v>9</v>
      </c>
      <c r="D4" s="8">
        <v>7.5</v>
      </c>
      <c r="E4" s="8" t="s">
        <v>0</v>
      </c>
    </row>
    <row r="5" spans="1:5" ht="12.75">
      <c r="A5" s="109" t="s">
        <v>1</v>
      </c>
      <c r="B5"/>
      <c r="C5">
        <v>5.3</v>
      </c>
      <c r="D5" s="8">
        <v>7</v>
      </c>
      <c r="E5" s="8" t="s">
        <v>1</v>
      </c>
    </row>
    <row r="6" spans="1:5" ht="12.75">
      <c r="A6" s="109" t="s">
        <v>2</v>
      </c>
      <c r="B6">
        <v>23</v>
      </c>
      <c r="C6">
        <v>12.4</v>
      </c>
      <c r="D6" s="8">
        <v>5</v>
      </c>
      <c r="E6" s="8" t="s">
        <v>2</v>
      </c>
    </row>
    <row r="7" spans="1:5" ht="12.75">
      <c r="A7" s="109" t="s">
        <v>3</v>
      </c>
      <c r="B7">
        <v>22</v>
      </c>
      <c r="C7">
        <v>3.8</v>
      </c>
      <c r="D7" s="8">
        <v>8</v>
      </c>
      <c r="E7" s="8" t="s">
        <v>3</v>
      </c>
    </row>
    <row r="8" spans="1:5" ht="12.75">
      <c r="A8" s="109" t="s">
        <v>4</v>
      </c>
      <c r="B8">
        <v>36</v>
      </c>
      <c r="C8">
        <v>3.2</v>
      </c>
      <c r="D8" s="8">
        <v>8</v>
      </c>
      <c r="E8" s="8" t="s">
        <v>4</v>
      </c>
    </row>
    <row r="9" spans="1:5" ht="12.75">
      <c r="A9" s="109" t="s">
        <v>5</v>
      </c>
      <c r="B9">
        <v>34</v>
      </c>
      <c r="C9">
        <v>8.4</v>
      </c>
      <c r="D9" s="8">
        <v>7.5</v>
      </c>
      <c r="E9" s="8" t="s">
        <v>5</v>
      </c>
    </row>
    <row r="10" spans="1:5" ht="12.75">
      <c r="A10" s="109" t="s">
        <v>6</v>
      </c>
      <c r="B10">
        <v>37</v>
      </c>
      <c r="C10">
        <v>8.8</v>
      </c>
      <c r="D10" s="8">
        <v>5.5</v>
      </c>
      <c r="E10" s="8" t="s">
        <v>6</v>
      </c>
    </row>
    <row r="11" spans="1:5" ht="12.75">
      <c r="A11" s="109" t="s">
        <v>7</v>
      </c>
      <c r="B11">
        <v>42</v>
      </c>
      <c r="C11">
        <v>15.8</v>
      </c>
      <c r="D11" s="8">
        <v>4.5</v>
      </c>
      <c r="E11" s="8" t="s">
        <v>7</v>
      </c>
    </row>
    <row r="12" spans="1:5" ht="12.75">
      <c r="A12" s="109" t="s">
        <v>8</v>
      </c>
      <c r="B12">
        <v>40</v>
      </c>
      <c r="C12">
        <v>18.6</v>
      </c>
      <c r="D12" s="8">
        <v>5</v>
      </c>
      <c r="E12" s="8" t="s">
        <v>8</v>
      </c>
    </row>
    <row r="13" spans="1:5" ht="12.75">
      <c r="A13" s="109" t="s">
        <v>9</v>
      </c>
      <c r="B13">
        <v>49</v>
      </c>
      <c r="C13">
        <v>15.2</v>
      </c>
      <c r="D13" s="8">
        <v>5</v>
      </c>
      <c r="E13" s="8" t="s">
        <v>9</v>
      </c>
    </row>
    <row r="14" spans="1:5" ht="12.75">
      <c r="A14" s="109" t="s">
        <v>10</v>
      </c>
      <c r="B14">
        <v>49</v>
      </c>
      <c r="C14">
        <v>16</v>
      </c>
      <c r="D14" s="8">
        <v>4</v>
      </c>
      <c r="E14" s="8" t="s">
        <v>10</v>
      </c>
    </row>
    <row r="15" spans="1:4" ht="12.75">
      <c r="A15" s="104" t="s">
        <v>84</v>
      </c>
      <c r="B15" s="16">
        <f>AVERAGE(B3:B14)</f>
        <v>33.81818181818182</v>
      </c>
      <c r="C15" s="16">
        <f>AVERAGE(C3:C14)</f>
        <v>10.783333333333331</v>
      </c>
      <c r="D15" s="16">
        <f>AVERAGE(D3:D14)</f>
        <v>6.25</v>
      </c>
    </row>
    <row r="16" spans="1:4" ht="12.75">
      <c r="A16" s="104" t="s">
        <v>123</v>
      </c>
      <c r="B16" s="16">
        <f>AVERAGE(B9:B11)</f>
        <v>37.666666666666664</v>
      </c>
      <c r="C16" s="16">
        <f>AVERAGE(C9:C11)</f>
        <v>11</v>
      </c>
      <c r="D16" s="16">
        <f>AVERAGE(D9:D11)</f>
        <v>5.833333333333333</v>
      </c>
    </row>
    <row r="17" spans="1:3" ht="16.5">
      <c r="A17" s="11"/>
      <c r="B17" s="67"/>
      <c r="C17" s="108"/>
    </row>
    <row r="19" spans="1:7" ht="12.75">
      <c r="A19" s="9" t="s">
        <v>84</v>
      </c>
      <c r="B19" s="8" t="s">
        <v>16</v>
      </c>
      <c r="C19" s="8" t="s">
        <v>33</v>
      </c>
      <c r="E19" s="1"/>
      <c r="F19" s="14"/>
      <c r="G19" s="1"/>
    </row>
    <row r="20" spans="1:7" ht="12.75">
      <c r="A20" s="9">
        <v>1982</v>
      </c>
      <c r="B20" s="8">
        <v>15</v>
      </c>
      <c r="C20" s="8">
        <v>23</v>
      </c>
      <c r="D20"/>
      <c r="E20" s="1"/>
      <c r="F20" s="15"/>
      <c r="G20"/>
    </row>
    <row r="21" spans="1:7" ht="12.75">
      <c r="A21" s="9">
        <v>1983</v>
      </c>
      <c r="B21" s="8">
        <v>16</v>
      </c>
      <c r="C21" s="8">
        <v>50</v>
      </c>
      <c r="D21"/>
      <c r="E21" s="1"/>
      <c r="F21" s="15"/>
      <c r="G21"/>
    </row>
    <row r="22" spans="1:7" ht="12.75">
      <c r="A22" s="9">
        <v>1984</v>
      </c>
      <c r="B22" s="8">
        <v>6.7</v>
      </c>
      <c r="C22" s="8">
        <v>35</v>
      </c>
      <c r="D22"/>
      <c r="E22" s="1"/>
      <c r="F22" s="15"/>
      <c r="G22"/>
    </row>
    <row r="23" spans="1:7" ht="12.75">
      <c r="A23" s="9">
        <v>1985</v>
      </c>
      <c r="B23" s="8">
        <v>8.9</v>
      </c>
      <c r="C23" s="8">
        <v>28</v>
      </c>
      <c r="D23"/>
      <c r="E23" s="1"/>
      <c r="F23" s="15"/>
      <c r="G23"/>
    </row>
    <row r="24" spans="1:7" ht="12.75">
      <c r="A24" s="9">
        <v>1987</v>
      </c>
      <c r="B24" s="8">
        <v>10</v>
      </c>
      <c r="C24" s="8">
        <v>57</v>
      </c>
      <c r="E24" s="1"/>
      <c r="F24" s="15"/>
      <c r="G24"/>
    </row>
    <row r="25" spans="1:7" ht="12.75">
      <c r="A25" s="9">
        <v>1988</v>
      </c>
      <c r="B25" s="8">
        <v>9</v>
      </c>
      <c r="C25" s="8">
        <v>16</v>
      </c>
      <c r="D25" s="16"/>
      <c r="E25" s="1"/>
      <c r="F25" s="15"/>
      <c r="G25"/>
    </row>
    <row r="26" spans="1:7" ht="12.75">
      <c r="A26" s="9">
        <v>1989</v>
      </c>
      <c r="B26" s="8">
        <v>2.3</v>
      </c>
      <c r="C26" s="8">
        <v>16</v>
      </c>
      <c r="D26" s="16"/>
      <c r="E26" s="1"/>
      <c r="F26" s="15"/>
      <c r="G26"/>
    </row>
    <row r="27" spans="1:7" ht="12.75">
      <c r="A27" s="9">
        <v>1990</v>
      </c>
      <c r="B27" s="8">
        <v>10</v>
      </c>
      <c r="C27" s="8">
        <v>27</v>
      </c>
      <c r="D27" s="16"/>
      <c r="E27" s="1"/>
      <c r="F27" s="15"/>
      <c r="G27"/>
    </row>
    <row r="28" spans="1:7" ht="12.75">
      <c r="A28" s="9">
        <v>1991</v>
      </c>
      <c r="B28" s="8">
        <v>1.6</v>
      </c>
      <c r="C28" s="8">
        <v>17</v>
      </c>
      <c r="D28" s="16"/>
      <c r="E28" s="1"/>
      <c r="F28" s="15"/>
      <c r="G28"/>
    </row>
    <row r="29" spans="1:7" ht="12.75">
      <c r="A29" s="9">
        <v>1992</v>
      </c>
      <c r="B29" s="8">
        <v>4.2</v>
      </c>
      <c r="C29" s="8">
        <v>31</v>
      </c>
      <c r="D29" s="16"/>
      <c r="E29" s="1"/>
      <c r="F29" s="15"/>
      <c r="G29"/>
    </row>
    <row r="30" spans="1:7" ht="12.75">
      <c r="A30" s="9">
        <v>1993</v>
      </c>
      <c r="B30" s="8">
        <v>4.4</v>
      </c>
      <c r="C30" s="8">
        <v>21</v>
      </c>
      <c r="D30" s="16"/>
      <c r="E30" s="1"/>
      <c r="F30" s="15"/>
      <c r="G30"/>
    </row>
    <row r="31" spans="1:7" ht="12.75">
      <c r="A31" s="9">
        <v>1994</v>
      </c>
      <c r="B31" s="8">
        <v>3.3</v>
      </c>
      <c r="C31" s="8">
        <v>14</v>
      </c>
      <c r="D31" s="16"/>
      <c r="E31" s="1"/>
      <c r="F31" s="15"/>
      <c r="G31"/>
    </row>
    <row r="32" spans="1:7" ht="12.75">
      <c r="A32" s="9">
        <v>1995</v>
      </c>
      <c r="B32" s="8">
        <v>1.2</v>
      </c>
      <c r="C32" s="8">
        <v>13</v>
      </c>
      <c r="E32" s="1"/>
      <c r="F32" s="15"/>
      <c r="G32"/>
    </row>
    <row r="33" spans="1:7" ht="12.75">
      <c r="A33" s="9">
        <v>1996</v>
      </c>
      <c r="B33" s="8">
        <v>3.7</v>
      </c>
      <c r="C33" s="8">
        <v>26</v>
      </c>
      <c r="E33" s="1"/>
      <c r="F33" s="15"/>
      <c r="G33"/>
    </row>
    <row r="34" spans="1:7" ht="12.75">
      <c r="A34" s="9">
        <v>1997</v>
      </c>
      <c r="B34" s="8">
        <v>2.3</v>
      </c>
      <c r="C34" s="8">
        <v>13</v>
      </c>
      <c r="E34" s="1"/>
      <c r="F34" s="15"/>
      <c r="G34"/>
    </row>
    <row r="35" spans="1:7" ht="12.75">
      <c r="A35" s="9">
        <v>1998</v>
      </c>
      <c r="B35" s="8">
        <v>4.2</v>
      </c>
      <c r="C35" s="8">
        <v>17</v>
      </c>
      <c r="E35" s="1"/>
      <c r="F35" s="15"/>
      <c r="G35"/>
    </row>
    <row r="36" spans="1:7" ht="12.75">
      <c r="A36" s="9">
        <v>1999</v>
      </c>
      <c r="B36" s="8">
        <v>4.3</v>
      </c>
      <c r="C36" s="8">
        <v>20</v>
      </c>
      <c r="E36" s="1"/>
      <c r="F36" s="15"/>
      <c r="G36"/>
    </row>
    <row r="37" spans="1:7" ht="12.75">
      <c r="A37" s="9">
        <v>2000</v>
      </c>
      <c r="B37" s="8">
        <v>7.5</v>
      </c>
      <c r="C37" s="8">
        <v>12</v>
      </c>
      <c r="E37" s="1"/>
      <c r="F37" s="15"/>
      <c r="G37"/>
    </row>
    <row r="38" spans="1:7" ht="12.75">
      <c r="A38" s="9">
        <v>2001</v>
      </c>
      <c r="B38" s="8">
        <v>10</v>
      </c>
      <c r="C38" s="8">
        <v>23</v>
      </c>
      <c r="E38" s="1"/>
      <c r="F38" s="15"/>
      <c r="G38"/>
    </row>
    <row r="39" spans="1:7" ht="12.75">
      <c r="A39" s="9">
        <v>2002</v>
      </c>
      <c r="B39" s="8">
        <v>9.4</v>
      </c>
      <c r="C39" s="8">
        <v>23</v>
      </c>
      <c r="E39" s="1"/>
      <c r="F39" s="15"/>
      <c r="G39"/>
    </row>
    <row r="40" spans="1:7" ht="12.75">
      <c r="A40" s="9">
        <v>2003</v>
      </c>
      <c r="B40" s="8">
        <v>10.7</v>
      </c>
      <c r="C40" s="8">
        <v>32.1</v>
      </c>
      <c r="E40" s="1"/>
      <c r="F40" s="15"/>
      <c r="G40"/>
    </row>
    <row r="41" spans="1:7" ht="12.75">
      <c r="A41" s="9" t="s">
        <v>122</v>
      </c>
      <c r="B41" s="8" t="s">
        <v>16</v>
      </c>
      <c r="C41" s="8" t="s">
        <v>33</v>
      </c>
      <c r="D41" s="9" t="s">
        <v>34</v>
      </c>
      <c r="E41" s="1" t="s">
        <v>35</v>
      </c>
      <c r="F41" s="15"/>
      <c r="G41"/>
    </row>
    <row r="42" spans="1:7" ht="12.75">
      <c r="A42" s="8">
        <v>1982</v>
      </c>
      <c r="B42" s="8">
        <v>15</v>
      </c>
      <c r="C42" s="8">
        <v>23</v>
      </c>
      <c r="D42" s="9">
        <f>LOG(B42)</f>
        <v>1.1760912590556813</v>
      </c>
      <c r="E42" s="9">
        <f>LOG(C42)</f>
        <v>1.3617278360175928</v>
      </c>
      <c r="F42" s="15"/>
      <c r="G42"/>
    </row>
    <row r="43" spans="1:7" ht="12.75">
      <c r="A43" s="8">
        <v>1983</v>
      </c>
      <c r="B43" s="8">
        <v>16</v>
      </c>
      <c r="C43" s="8">
        <v>50</v>
      </c>
      <c r="D43" s="9">
        <f aca="true" t="shared" si="0" ref="D43:D62">LOG(B43)</f>
        <v>1.2041199826559248</v>
      </c>
      <c r="E43" s="9">
        <f aca="true" t="shared" si="1" ref="E43:E62">LOG(C43)</f>
        <v>1.6989700043360187</v>
      </c>
      <c r="F43" s="15"/>
      <c r="G43"/>
    </row>
    <row r="44" spans="1:7" ht="12.75">
      <c r="A44" s="8">
        <v>1984</v>
      </c>
      <c r="B44" s="8">
        <v>6.7</v>
      </c>
      <c r="C44" s="8">
        <v>35</v>
      </c>
      <c r="D44" s="9">
        <f t="shared" si="0"/>
        <v>0.8260748027008264</v>
      </c>
      <c r="E44" s="9">
        <f t="shared" si="1"/>
        <v>1.5440680443502757</v>
      </c>
      <c r="F44" s="15"/>
      <c r="G44"/>
    </row>
    <row r="45" spans="1:7" ht="12.75">
      <c r="A45" s="8">
        <v>1985</v>
      </c>
      <c r="B45" s="8">
        <v>8.9</v>
      </c>
      <c r="C45" s="8">
        <v>28</v>
      </c>
      <c r="D45" s="9">
        <f t="shared" si="0"/>
        <v>0.9493900066449128</v>
      </c>
      <c r="E45" s="9">
        <f t="shared" si="1"/>
        <v>1.4471580313422192</v>
      </c>
      <c r="F45" s="15"/>
      <c r="G45"/>
    </row>
    <row r="46" spans="1:7" ht="12.75">
      <c r="A46" s="8">
        <v>1987</v>
      </c>
      <c r="B46" s="8">
        <v>15</v>
      </c>
      <c r="C46" s="8">
        <v>60</v>
      </c>
      <c r="D46" s="9">
        <f t="shared" si="0"/>
        <v>1.1760912590556813</v>
      </c>
      <c r="E46" s="9">
        <f t="shared" si="1"/>
        <v>1.7781512503836436</v>
      </c>
      <c r="F46" s="15"/>
      <c r="G46"/>
    </row>
    <row r="47" spans="1:7" ht="12.75">
      <c r="A47" s="8">
        <v>1988</v>
      </c>
      <c r="B47" s="8">
        <v>9</v>
      </c>
      <c r="C47" s="8">
        <v>15</v>
      </c>
      <c r="D47" s="9">
        <f t="shared" si="0"/>
        <v>0.9542425094393249</v>
      </c>
      <c r="E47" s="9">
        <f t="shared" si="1"/>
        <v>1.1760912590556813</v>
      </c>
      <c r="F47" s="15"/>
      <c r="G47"/>
    </row>
    <row r="48" spans="1:7" ht="12.75">
      <c r="A48" s="8">
        <v>1989</v>
      </c>
      <c r="B48" s="8">
        <v>2.3</v>
      </c>
      <c r="C48" s="8">
        <v>12</v>
      </c>
      <c r="D48" s="9">
        <f t="shared" si="0"/>
        <v>0.36172783601759284</v>
      </c>
      <c r="E48" s="9">
        <f t="shared" si="1"/>
        <v>1.0791812460476249</v>
      </c>
      <c r="F48" s="15"/>
      <c r="G48"/>
    </row>
    <row r="49" spans="1:7" ht="12.75">
      <c r="A49" s="8">
        <v>1990</v>
      </c>
      <c r="B49" s="8">
        <v>6.6</v>
      </c>
      <c r="C49" s="8">
        <v>27</v>
      </c>
      <c r="D49" s="9">
        <f t="shared" si="0"/>
        <v>0.8195439355418687</v>
      </c>
      <c r="E49" s="9">
        <f t="shared" si="1"/>
        <v>1.4313637641589874</v>
      </c>
      <c r="F49" s="15"/>
      <c r="G49"/>
    </row>
    <row r="50" spans="1:7" ht="12.75">
      <c r="A50" s="8">
        <v>1991</v>
      </c>
      <c r="B50" s="8">
        <v>4.6</v>
      </c>
      <c r="C50" s="8">
        <v>29</v>
      </c>
      <c r="D50" s="9">
        <f t="shared" si="0"/>
        <v>0.6627578316815741</v>
      </c>
      <c r="E50" s="9">
        <f t="shared" si="1"/>
        <v>1.462397997898956</v>
      </c>
      <c r="F50" s="15"/>
      <c r="G50"/>
    </row>
    <row r="51" spans="1:7" ht="12.75">
      <c r="A51" s="8">
        <v>1992</v>
      </c>
      <c r="B51" s="8">
        <v>4.5</v>
      </c>
      <c r="C51" s="8">
        <v>27</v>
      </c>
      <c r="D51" s="9">
        <f t="shared" si="0"/>
        <v>0.6532125137753437</v>
      </c>
      <c r="E51" s="9">
        <f t="shared" si="1"/>
        <v>1.4313637641589874</v>
      </c>
      <c r="F51" s="15"/>
      <c r="G51"/>
    </row>
    <row r="52" spans="1:7" ht="12.75">
      <c r="A52" s="8">
        <v>1993</v>
      </c>
      <c r="B52" s="8">
        <v>4.1</v>
      </c>
      <c r="C52" s="8">
        <v>18</v>
      </c>
      <c r="D52" s="9">
        <f t="shared" si="0"/>
        <v>0.6127838567197355</v>
      </c>
      <c r="E52" s="9">
        <f t="shared" si="1"/>
        <v>1.255272505103306</v>
      </c>
      <c r="F52" s="15"/>
      <c r="G52"/>
    </row>
    <row r="53" spans="1:7" ht="12.75">
      <c r="A53" s="8">
        <v>1994</v>
      </c>
      <c r="B53" s="8">
        <v>3.2</v>
      </c>
      <c r="C53" s="8">
        <v>29</v>
      </c>
      <c r="D53" s="9">
        <f t="shared" si="0"/>
        <v>0.505149978319906</v>
      </c>
      <c r="E53" s="9">
        <f t="shared" si="1"/>
        <v>1.462397997898956</v>
      </c>
      <c r="F53" s="15"/>
      <c r="G53"/>
    </row>
    <row r="54" spans="1:7" ht="12.75">
      <c r="A54" s="8">
        <v>1995</v>
      </c>
      <c r="B54" s="8">
        <v>1.2</v>
      </c>
      <c r="C54" s="8">
        <v>20</v>
      </c>
      <c r="D54" s="9">
        <f t="shared" si="0"/>
        <v>0.07918124604762482</v>
      </c>
      <c r="E54" s="9">
        <f t="shared" si="1"/>
        <v>1.3010299956639813</v>
      </c>
      <c r="F54" s="15"/>
      <c r="G54"/>
    </row>
    <row r="55" spans="1:7" ht="12.75">
      <c r="A55" s="8">
        <v>1996</v>
      </c>
      <c r="B55" s="8">
        <v>4.3</v>
      </c>
      <c r="C55" s="8">
        <v>37</v>
      </c>
      <c r="D55" s="9">
        <f t="shared" si="0"/>
        <v>0.6334684555795865</v>
      </c>
      <c r="E55" s="9">
        <f t="shared" si="1"/>
        <v>1.568201724066995</v>
      </c>
      <c r="F55" s="15"/>
      <c r="G55"/>
    </row>
    <row r="56" spans="1:7" ht="12.75">
      <c r="A56" s="8">
        <v>1997</v>
      </c>
      <c r="B56" s="8">
        <v>2.8</v>
      </c>
      <c r="C56" s="8">
        <v>15</v>
      </c>
      <c r="D56" s="9">
        <f t="shared" si="0"/>
        <v>0.4471580313422192</v>
      </c>
      <c r="E56" s="9">
        <f t="shared" si="1"/>
        <v>1.1760912590556813</v>
      </c>
      <c r="F56" s="15"/>
      <c r="G56"/>
    </row>
    <row r="57" spans="1:7" ht="12.75">
      <c r="A57" s="8">
        <v>1998</v>
      </c>
      <c r="B57" s="8">
        <v>2.9</v>
      </c>
      <c r="C57" s="8">
        <v>17</v>
      </c>
      <c r="D57" s="9">
        <f t="shared" si="0"/>
        <v>0.4623979978989561</v>
      </c>
      <c r="E57" s="9">
        <f t="shared" si="1"/>
        <v>1.2304489213782739</v>
      </c>
      <c r="F57" s="15"/>
      <c r="G57"/>
    </row>
    <row r="58" spans="1:7" ht="12.75">
      <c r="A58" s="8">
        <v>1999</v>
      </c>
      <c r="B58" s="8">
        <v>3</v>
      </c>
      <c r="C58" s="8">
        <v>17</v>
      </c>
      <c r="D58" s="9">
        <f t="shared" si="0"/>
        <v>0.47712125471966244</v>
      </c>
      <c r="E58" s="9">
        <f t="shared" si="1"/>
        <v>1.2304489213782739</v>
      </c>
      <c r="F58" s="15"/>
      <c r="G58"/>
    </row>
    <row r="59" spans="1:7" ht="12.75">
      <c r="A59" s="8">
        <v>2000</v>
      </c>
      <c r="B59" s="8">
        <v>6.24</v>
      </c>
      <c r="C59" s="8">
        <v>14</v>
      </c>
      <c r="D59" s="9">
        <f t="shared" si="0"/>
        <v>0.795184589682424</v>
      </c>
      <c r="E59" s="9">
        <f t="shared" si="1"/>
        <v>1.146128035678238</v>
      </c>
      <c r="F59" s="15"/>
      <c r="G59"/>
    </row>
    <row r="60" spans="1:7" ht="12.75">
      <c r="A60" s="8">
        <v>2001</v>
      </c>
      <c r="B60" s="8">
        <v>10.4</v>
      </c>
      <c r="C60" s="8">
        <v>29</v>
      </c>
      <c r="D60" s="9">
        <f t="shared" si="0"/>
        <v>1.0170333392987803</v>
      </c>
      <c r="E60" s="1">
        <f t="shared" si="1"/>
        <v>1.462397997898956</v>
      </c>
      <c r="F60" s="15"/>
      <c r="G60"/>
    </row>
    <row r="61" spans="1:7" ht="12.75">
      <c r="A61" s="8">
        <v>2002</v>
      </c>
      <c r="B61" s="6">
        <v>9.1</v>
      </c>
      <c r="C61" s="6">
        <v>25</v>
      </c>
      <c r="D61" s="9">
        <f t="shared" si="0"/>
        <v>0.9590413923210935</v>
      </c>
      <c r="E61" s="1">
        <f t="shared" si="1"/>
        <v>1.3979400086720377</v>
      </c>
      <c r="F61" s="87"/>
      <c r="G61"/>
    </row>
    <row r="62" spans="1:7" ht="12.75">
      <c r="A62" s="8">
        <v>2003</v>
      </c>
      <c r="B62" s="6">
        <v>10</v>
      </c>
      <c r="C62" s="6">
        <v>38</v>
      </c>
      <c r="D62" s="9">
        <f t="shared" si="0"/>
        <v>1</v>
      </c>
      <c r="E62" s="1">
        <f t="shared" si="1"/>
        <v>1.5797835966168101</v>
      </c>
      <c r="F62" s="87"/>
      <c r="G62"/>
    </row>
    <row r="63" spans="1:7" ht="12.75">
      <c r="A63" s="88" t="s">
        <v>102</v>
      </c>
      <c r="B63" s="89"/>
      <c r="C63" s="89"/>
      <c r="D63" s="6"/>
      <c r="E63" s="86"/>
      <c r="F63" s="87"/>
      <c r="G63"/>
    </row>
    <row r="64" spans="1:7" ht="12.75">
      <c r="A64" s="88" t="s">
        <v>121</v>
      </c>
      <c r="B64" s="89"/>
      <c r="C64" s="89"/>
      <c r="D64" s="6"/>
      <c r="E64" s="86"/>
      <c r="F64" s="87"/>
      <c r="G64"/>
    </row>
    <row r="65" spans="1:7" ht="12.75">
      <c r="A65" s="88" t="s">
        <v>103</v>
      </c>
      <c r="B65" s="89"/>
      <c r="C65" s="89"/>
      <c r="D65" s="6"/>
      <c r="E65" s="86"/>
      <c r="F65" s="87"/>
      <c r="G65"/>
    </row>
    <row r="66" spans="1:7" ht="15.75">
      <c r="A66" s="78"/>
      <c r="B66" s="5" t="s">
        <v>104</v>
      </c>
      <c r="C66" s="6"/>
      <c r="E66" s="1"/>
      <c r="F66" s="15"/>
      <c r="G66"/>
    </row>
    <row r="67" spans="1:7" ht="15.75">
      <c r="A67" s="78"/>
      <c r="B67" s="5" t="s">
        <v>105</v>
      </c>
      <c r="C67" s="5" t="s">
        <v>17</v>
      </c>
      <c r="E67" s="1"/>
      <c r="F67" s="15"/>
      <c r="G67"/>
    </row>
    <row r="68" spans="1:7" ht="12.75">
      <c r="A68"/>
      <c r="B68" s="5" t="s">
        <v>106</v>
      </c>
      <c r="C68" s="5" t="s">
        <v>106</v>
      </c>
      <c r="E68" s="1"/>
      <c r="F68" s="15"/>
      <c r="G68"/>
    </row>
    <row r="69" spans="1:7" ht="18.75">
      <c r="A69" s="79" t="s">
        <v>21</v>
      </c>
      <c r="B69" s="77" t="s">
        <v>114</v>
      </c>
      <c r="C69" s="77" t="s">
        <v>107</v>
      </c>
      <c r="E69" s="1"/>
      <c r="F69" s="15"/>
      <c r="G69"/>
    </row>
    <row r="70" spans="1:7" ht="15.75">
      <c r="A70" s="79">
        <v>1982</v>
      </c>
      <c r="B70" s="99">
        <v>23</v>
      </c>
      <c r="C70" s="80">
        <v>15</v>
      </c>
      <c r="E70" s="1"/>
      <c r="F70" s="15"/>
      <c r="G70"/>
    </row>
    <row r="71" spans="1:7" ht="15.75">
      <c r="A71" s="79">
        <v>1983</v>
      </c>
      <c r="B71" s="99">
        <v>50</v>
      </c>
      <c r="C71" s="80">
        <v>16</v>
      </c>
      <c r="E71" s="1"/>
      <c r="F71" s="15"/>
      <c r="G71"/>
    </row>
    <row r="72" spans="1:7" ht="15.75">
      <c r="A72" s="79">
        <v>1984</v>
      </c>
      <c r="B72" s="99">
        <v>35</v>
      </c>
      <c r="C72" s="79">
        <v>6.7</v>
      </c>
      <c r="E72" s="1"/>
      <c r="F72" s="15"/>
      <c r="G72"/>
    </row>
    <row r="73" spans="1:7" ht="15.75">
      <c r="A73" s="79">
        <v>1985</v>
      </c>
      <c r="B73" s="99">
        <v>28</v>
      </c>
      <c r="C73" s="79">
        <v>8.9</v>
      </c>
      <c r="E73" s="1"/>
      <c r="F73" s="15"/>
      <c r="G73"/>
    </row>
    <row r="74" spans="1:7" ht="18.75">
      <c r="A74" s="79">
        <v>1986</v>
      </c>
      <c r="B74" s="100" t="s">
        <v>108</v>
      </c>
      <c r="C74" s="81" t="s">
        <v>108</v>
      </c>
      <c r="E74" s="1"/>
      <c r="F74" s="15"/>
      <c r="G74"/>
    </row>
    <row r="75" spans="1:7" ht="15.75">
      <c r="A75" s="79">
        <v>1987</v>
      </c>
      <c r="B75" s="99">
        <v>77</v>
      </c>
      <c r="C75" s="82">
        <v>5.683333333333334</v>
      </c>
      <c r="E75" s="1"/>
      <c r="F75" s="15"/>
      <c r="G75"/>
    </row>
    <row r="76" spans="1:7" ht="15.75">
      <c r="A76" s="79">
        <v>1988</v>
      </c>
      <c r="B76" s="99">
        <v>23</v>
      </c>
      <c r="C76" s="83">
        <v>7.6433333333333335</v>
      </c>
      <c r="E76" s="1"/>
      <c r="F76" s="15"/>
      <c r="G76"/>
    </row>
    <row r="77" spans="1:7" ht="15.75">
      <c r="A77" s="79">
        <v>1989</v>
      </c>
      <c r="B77" s="99">
        <v>11</v>
      </c>
      <c r="C77" s="83">
        <v>3.6277777777777778</v>
      </c>
      <c r="E77" s="1"/>
      <c r="F77" s="15"/>
      <c r="G77"/>
    </row>
    <row r="78" spans="1:7" ht="15.75">
      <c r="A78" s="79">
        <v>1990</v>
      </c>
      <c r="B78" s="99">
        <v>15</v>
      </c>
      <c r="C78" s="83">
        <v>7.066666666666666</v>
      </c>
      <c r="E78" s="1"/>
      <c r="F78" s="15"/>
      <c r="G78"/>
    </row>
    <row r="79" spans="1:7" ht="15.75">
      <c r="A79" s="79">
        <v>1991</v>
      </c>
      <c r="B79" s="99">
        <v>25</v>
      </c>
      <c r="C79" s="84">
        <v>2.983333333333333</v>
      </c>
      <c r="E79" s="1"/>
      <c r="F79" s="15"/>
      <c r="G79"/>
    </row>
    <row r="80" spans="1:7" ht="15.75">
      <c r="A80" s="79">
        <v>1992</v>
      </c>
      <c r="B80" s="99">
        <v>15</v>
      </c>
      <c r="C80" s="84">
        <v>3.9291666666666663</v>
      </c>
      <c r="E80" s="1"/>
      <c r="F80" s="15"/>
      <c r="G80"/>
    </row>
    <row r="81" spans="1:7" ht="15.75">
      <c r="A81" s="79">
        <v>1993</v>
      </c>
      <c r="B81" s="99">
        <v>15</v>
      </c>
      <c r="C81" s="84">
        <v>3.9916666666666667</v>
      </c>
      <c r="E81" s="1"/>
      <c r="F81" s="15"/>
      <c r="G81"/>
    </row>
    <row r="82" spans="1:7" ht="15.75">
      <c r="A82" s="79">
        <v>1994</v>
      </c>
      <c r="B82" s="101">
        <v>13</v>
      </c>
      <c r="C82" s="85">
        <v>3.016666666666666</v>
      </c>
      <c r="E82" s="1"/>
      <c r="F82" s="15"/>
      <c r="G82"/>
    </row>
    <row r="83" spans="1:7" ht="15.75">
      <c r="A83" s="79">
        <v>1995</v>
      </c>
      <c r="B83" s="101">
        <v>10</v>
      </c>
      <c r="C83" s="85">
        <v>3.5708333333333333</v>
      </c>
      <c r="E83" s="1"/>
      <c r="F83" s="15"/>
      <c r="G83"/>
    </row>
    <row r="84" spans="1:7" ht="15.75">
      <c r="A84" s="79">
        <v>1996</v>
      </c>
      <c r="B84" s="101">
        <v>19</v>
      </c>
      <c r="C84" s="85">
        <v>3.9142857142857146</v>
      </c>
      <c r="E84" s="1"/>
      <c r="F84" s="15"/>
      <c r="G84"/>
    </row>
    <row r="85" spans="1:7" ht="15.75">
      <c r="A85" s="79">
        <v>1997</v>
      </c>
      <c r="B85" s="101">
        <v>15</v>
      </c>
      <c r="C85" s="85">
        <v>2.411111111111111</v>
      </c>
      <c r="E85" s="1"/>
      <c r="F85" s="15"/>
      <c r="G85"/>
    </row>
    <row r="86" spans="1:7" ht="15.75">
      <c r="A86" s="79">
        <v>1998</v>
      </c>
      <c r="B86" s="102">
        <v>24</v>
      </c>
      <c r="C86" s="83">
        <v>3.8</v>
      </c>
      <c r="E86" s="1"/>
      <c r="F86" s="15"/>
      <c r="G86"/>
    </row>
    <row r="87" spans="1:7" ht="15.75">
      <c r="A87" s="105">
        <v>1999</v>
      </c>
      <c r="B87" s="106">
        <v>17</v>
      </c>
      <c r="C87" s="107">
        <v>4.7</v>
      </c>
      <c r="E87" s="1"/>
      <c r="F87" s="15"/>
      <c r="G87"/>
    </row>
    <row r="88" spans="1:7" ht="12.75">
      <c r="A88" s="8">
        <v>2000</v>
      </c>
      <c r="B88" s="8">
        <v>14</v>
      </c>
      <c r="C88" s="24">
        <v>6.24</v>
      </c>
      <c r="E88" s="1"/>
      <c r="F88" s="15"/>
      <c r="G88"/>
    </row>
    <row r="89" spans="1:7" ht="15.75">
      <c r="A89" s="105">
        <v>2001</v>
      </c>
      <c r="B89" s="106">
        <v>23</v>
      </c>
      <c r="C89" s="107">
        <v>10</v>
      </c>
      <c r="E89" s="1"/>
      <c r="F89" s="15"/>
      <c r="G89"/>
    </row>
    <row r="90" spans="1:7" ht="15.75">
      <c r="A90" s="79">
        <v>2002</v>
      </c>
      <c r="B90" s="99">
        <v>25</v>
      </c>
      <c r="C90" s="79">
        <v>9</v>
      </c>
      <c r="E90" s="1"/>
      <c r="F90" s="15"/>
      <c r="G90"/>
    </row>
    <row r="91" spans="1:14" ht="16.5" thickBot="1">
      <c r="A91" s="79">
        <v>2003</v>
      </c>
      <c r="B91" s="99">
        <f>0.0381764705882353*1000</f>
        <v>38.1764705882353</v>
      </c>
      <c r="C91" s="79">
        <v>10</v>
      </c>
      <c r="E91" s="1"/>
      <c r="F91" s="15"/>
      <c r="G91"/>
      <c r="H91" s="193" t="s">
        <v>143</v>
      </c>
      <c r="I91" s="193"/>
      <c r="J91" s="193"/>
      <c r="K91" s="193"/>
      <c r="L91" s="193"/>
      <c r="M91" s="193"/>
      <c r="N91" s="193"/>
    </row>
    <row r="92" spans="1:14" ht="15.75">
      <c r="A92" s="79" t="s">
        <v>109</v>
      </c>
      <c r="B92" s="99">
        <f>AVERAGE(B70:B73,B75:B90)</f>
        <v>23.85</v>
      </c>
      <c r="C92" s="82">
        <f>AVERAGE(C70:C73,C75:C90)</f>
        <v>6.408908730158728</v>
      </c>
      <c r="E92" s="1"/>
      <c r="F92" s="15"/>
      <c r="G92"/>
      <c r="H92" s="188"/>
      <c r="I92" s="185" t="s">
        <v>125</v>
      </c>
      <c r="J92" s="185" t="s">
        <v>125</v>
      </c>
      <c r="K92" s="185" t="s">
        <v>125</v>
      </c>
      <c r="L92" s="185" t="s">
        <v>125</v>
      </c>
      <c r="M92" s="185" t="s">
        <v>125</v>
      </c>
      <c r="N92" s="185" t="s">
        <v>125</v>
      </c>
    </row>
    <row r="93" spans="1:14" ht="16.5" thickBot="1">
      <c r="A93" s="79" t="s">
        <v>110</v>
      </c>
      <c r="B93" s="99">
        <f>STDEVP(B70:B73,B75:B90)</f>
        <v>15.183132087945491</v>
      </c>
      <c r="C93" s="82">
        <f>STDEVP(C70:C73,C75:C90)</f>
        <v>3.722653613621944</v>
      </c>
      <c r="E93" s="1"/>
      <c r="F93" s="15"/>
      <c r="G93"/>
      <c r="H93" s="188"/>
      <c r="I93" s="186" t="s">
        <v>144</v>
      </c>
      <c r="J93" s="186" t="s">
        <v>145</v>
      </c>
      <c r="K93" s="186" t="s">
        <v>146</v>
      </c>
      <c r="L93" s="186" t="s">
        <v>147</v>
      </c>
      <c r="M93" s="186" t="s">
        <v>105</v>
      </c>
      <c r="N93" s="186" t="s">
        <v>148</v>
      </c>
    </row>
    <row r="94" spans="1:14" ht="16.5" thickBot="1">
      <c r="A94" s="79" t="s">
        <v>111</v>
      </c>
      <c r="B94" s="99">
        <f>MAX(B70:B73,B75:B87)</f>
        <v>77</v>
      </c>
      <c r="C94" s="82">
        <f>MAX(C70:C73,C75:C90)</f>
        <v>16</v>
      </c>
      <c r="E94" s="1"/>
      <c r="F94" s="15"/>
      <c r="G94"/>
      <c r="H94" s="188"/>
      <c r="I94" s="186" t="s">
        <v>142</v>
      </c>
      <c r="J94" s="186" t="s">
        <v>149</v>
      </c>
      <c r="K94" s="186" t="s">
        <v>142</v>
      </c>
      <c r="L94" s="186" t="s">
        <v>142</v>
      </c>
      <c r="M94" s="186" t="s">
        <v>142</v>
      </c>
      <c r="N94" s="186" t="s">
        <v>142</v>
      </c>
    </row>
    <row r="95" spans="1:14" ht="16.5" thickBot="1">
      <c r="A95" s="79" t="s">
        <v>112</v>
      </c>
      <c r="B95" s="99">
        <f>MIN(B70:B73,B75:B90)</f>
        <v>10</v>
      </c>
      <c r="C95" s="82">
        <f>MIN(C70:C73,C75:C90)</f>
        <v>2.411111111111111</v>
      </c>
      <c r="E95" s="1"/>
      <c r="F95" s="15"/>
      <c r="G95"/>
      <c r="H95" s="189" t="s">
        <v>150</v>
      </c>
      <c r="I95" s="187">
        <v>0.5</v>
      </c>
      <c r="J95" s="187">
        <v>2</v>
      </c>
      <c r="K95" s="187">
        <v>7</v>
      </c>
      <c r="L95" s="187">
        <v>0.02</v>
      </c>
      <c r="M95" s="187">
        <v>0.0004</v>
      </c>
      <c r="N95" s="187">
        <v>0.2</v>
      </c>
    </row>
    <row r="96" spans="1:14" ht="16.5" thickBot="1">
      <c r="A96" s="79" t="s">
        <v>113</v>
      </c>
      <c r="B96" s="80">
        <f>COUNTA(B70:B73,B75:B90)</f>
        <v>20</v>
      </c>
      <c r="C96" s="80">
        <f>COUNTA(C70:C73,C75:C90)</f>
        <v>20</v>
      </c>
      <c r="E96" s="1"/>
      <c r="F96" s="15"/>
      <c r="G96"/>
      <c r="H96" s="189" t="s">
        <v>151</v>
      </c>
      <c r="I96" s="187">
        <v>2</v>
      </c>
      <c r="J96" s="187">
        <v>8</v>
      </c>
      <c r="K96" s="187">
        <v>30</v>
      </c>
      <c r="L96" s="187">
        <v>0.1</v>
      </c>
      <c r="M96" s="187">
        <v>0.002</v>
      </c>
      <c r="N96" s="187">
        <v>0.8</v>
      </c>
    </row>
    <row r="97" spans="5:14" ht="12.75">
      <c r="E97" s="1"/>
      <c r="F97" s="15"/>
      <c r="G97"/>
      <c r="H97" s="191">
        <v>37853</v>
      </c>
      <c r="I97" s="183">
        <v>0.82</v>
      </c>
      <c r="J97" s="183">
        <v>33.6</v>
      </c>
      <c r="K97" s="183">
        <v>42.4</v>
      </c>
      <c r="L97" s="183">
        <v>0.08</v>
      </c>
      <c r="M97" s="183">
        <v>0.027</v>
      </c>
      <c r="N97" s="182">
        <v>2.25</v>
      </c>
    </row>
    <row r="98" spans="5:14" ht="12.75">
      <c r="E98" s="1"/>
      <c r="F98" s="15"/>
      <c r="G98"/>
      <c r="H98" s="191">
        <v>37482</v>
      </c>
      <c r="I98" s="183">
        <v>1</v>
      </c>
      <c r="J98" s="183">
        <v>14.9</v>
      </c>
      <c r="K98" s="183">
        <v>22</v>
      </c>
      <c r="L98" s="183">
        <v>0.05</v>
      </c>
      <c r="M98" s="183">
        <v>0.0916</v>
      </c>
      <c r="N98" s="182">
        <v>3.1</v>
      </c>
    </row>
    <row r="99" spans="5:14" ht="12.75">
      <c r="E99" s="1"/>
      <c r="F99" s="15"/>
      <c r="G99"/>
      <c r="H99" s="191">
        <v>37118</v>
      </c>
      <c r="I99" s="183">
        <v>0.5</v>
      </c>
      <c r="J99" s="183">
        <v>14.9</v>
      </c>
      <c r="K99" s="183">
        <v>22</v>
      </c>
      <c r="L99" s="183">
        <v>0.02</v>
      </c>
      <c r="M99" s="183">
        <v>0.0328</v>
      </c>
      <c r="N99" s="182">
        <v>0.77</v>
      </c>
    </row>
    <row r="100" spans="5:14" ht="12.75">
      <c r="E100" s="1"/>
      <c r="F100" s="15"/>
      <c r="G100"/>
      <c r="H100" s="191">
        <v>36754</v>
      </c>
      <c r="I100" s="183">
        <v>0.25</v>
      </c>
      <c r="J100" s="183">
        <v>11</v>
      </c>
      <c r="K100" s="183">
        <v>12</v>
      </c>
      <c r="L100" s="183">
        <v>0.02</v>
      </c>
      <c r="M100" s="183">
        <v>0.026</v>
      </c>
      <c r="N100" s="182">
        <v>0.8</v>
      </c>
    </row>
    <row r="101" spans="5:14" ht="13.5" thickBot="1">
      <c r="E101" s="1"/>
      <c r="F101" s="15"/>
      <c r="G101"/>
      <c r="H101" s="190">
        <v>36390</v>
      </c>
      <c r="I101" s="184">
        <v>0.5</v>
      </c>
      <c r="J101" s="184">
        <v>25</v>
      </c>
      <c r="K101" s="184">
        <v>30</v>
      </c>
      <c r="L101" s="184">
        <v>0.06</v>
      </c>
      <c r="M101" s="184">
        <v>0.01</v>
      </c>
      <c r="N101" s="187">
        <v>2</v>
      </c>
    </row>
    <row r="239" spans="5:7" ht="12.75">
      <c r="E239"/>
      <c r="F239" s="15"/>
      <c r="G239"/>
    </row>
    <row r="240" spans="5:7" ht="12.75">
      <c r="E240"/>
      <c r="F240" s="15"/>
      <c r="G240"/>
    </row>
    <row r="241" spans="5:7" ht="12.75">
      <c r="E241"/>
      <c r="F241" s="15"/>
      <c r="G241"/>
    </row>
    <row r="242" spans="5:7" ht="12.75">
      <c r="E242"/>
      <c r="F242" s="15"/>
      <c r="G242"/>
    </row>
    <row r="243" spans="5:7" ht="12.75">
      <c r="E243"/>
      <c r="F243" s="15"/>
      <c r="G243"/>
    </row>
    <row r="244" spans="5:7" ht="12.75">
      <c r="E244"/>
      <c r="F244" s="15"/>
      <c r="G244"/>
    </row>
    <row r="245" spans="5:7" ht="12.75">
      <c r="E245"/>
      <c r="F245" s="15"/>
      <c r="G245"/>
    </row>
    <row r="246" spans="5:7" ht="12.75">
      <c r="E246"/>
      <c r="F246" s="15"/>
      <c r="G246"/>
    </row>
    <row r="247" spans="5:7" ht="12.75">
      <c r="E247"/>
      <c r="F247" s="15"/>
      <c r="G247"/>
    </row>
    <row r="248" spans="5:7" ht="12.75">
      <c r="E248"/>
      <c r="F248" s="15"/>
      <c r="G248"/>
    </row>
    <row r="249" spans="5:7" ht="12.75">
      <c r="E249"/>
      <c r="F249" s="15"/>
      <c r="G249"/>
    </row>
    <row r="250" spans="5:7" ht="12.75">
      <c r="E250"/>
      <c r="F250" s="15"/>
      <c r="G250"/>
    </row>
    <row r="251" spans="5:7" ht="12.75">
      <c r="E251"/>
      <c r="F251" s="15"/>
      <c r="G251"/>
    </row>
    <row r="252" spans="5:7" ht="12.75">
      <c r="E252"/>
      <c r="F252" s="15"/>
      <c r="G252"/>
    </row>
    <row r="253" spans="5:7" ht="12.75">
      <c r="E253"/>
      <c r="F253" s="15"/>
      <c r="G253"/>
    </row>
    <row r="254" spans="5:7" ht="12.75">
      <c r="E254"/>
      <c r="F254" s="15"/>
      <c r="G254"/>
    </row>
    <row r="255" spans="5:7" ht="12.75">
      <c r="E255"/>
      <c r="F255" s="15"/>
      <c r="G255"/>
    </row>
    <row r="256" spans="5:7" ht="12.75">
      <c r="E256"/>
      <c r="F256" s="15"/>
      <c r="G256"/>
    </row>
    <row r="257" spans="5:7" ht="12.75">
      <c r="E257"/>
      <c r="F257" s="15"/>
      <c r="G257"/>
    </row>
    <row r="258" spans="5:7" ht="12.75">
      <c r="E258"/>
      <c r="F258" s="15"/>
      <c r="G258"/>
    </row>
    <row r="259" spans="5:7" ht="12.75">
      <c r="E259"/>
      <c r="F259" s="15"/>
      <c r="G259"/>
    </row>
    <row r="260" spans="5:7" ht="12.75">
      <c r="E260"/>
      <c r="F260" s="15"/>
      <c r="G260"/>
    </row>
    <row r="261" spans="5:7" ht="12.75">
      <c r="E261"/>
      <c r="F261" s="15"/>
      <c r="G261"/>
    </row>
    <row r="262" spans="5:7" ht="12.75">
      <c r="E262"/>
      <c r="F262" s="15"/>
      <c r="G262"/>
    </row>
    <row r="263" spans="5:7" ht="12.75">
      <c r="E263"/>
      <c r="F263" s="15"/>
      <c r="G263"/>
    </row>
    <row r="264" spans="5:7" ht="12.75">
      <c r="E264"/>
      <c r="F264" s="15"/>
      <c r="G264"/>
    </row>
    <row r="265" spans="5:7" ht="12.75">
      <c r="E265"/>
      <c r="F265" s="15"/>
      <c r="G265"/>
    </row>
    <row r="266" spans="5:7" ht="12.75">
      <c r="E266"/>
      <c r="F266" s="15"/>
      <c r="G266"/>
    </row>
    <row r="267" spans="5:7" ht="12.75">
      <c r="E267"/>
      <c r="F267" s="15"/>
      <c r="G267"/>
    </row>
    <row r="268" spans="5:7" ht="12.75">
      <c r="E268"/>
      <c r="F268" s="15"/>
      <c r="G268"/>
    </row>
    <row r="269" spans="5:7" ht="12.75">
      <c r="E269"/>
      <c r="F269" s="15"/>
      <c r="G269"/>
    </row>
    <row r="270" spans="5:7" ht="12.75">
      <c r="E270"/>
      <c r="F270" s="15"/>
      <c r="G270"/>
    </row>
    <row r="271" spans="5:7" ht="12.75">
      <c r="E271"/>
      <c r="F271" s="15"/>
      <c r="G271"/>
    </row>
    <row r="272" spans="5:7" ht="12.75">
      <c r="E272"/>
      <c r="F272" s="15"/>
      <c r="G272"/>
    </row>
    <row r="273" spans="5:7" ht="12.75">
      <c r="E273"/>
      <c r="F273" s="15"/>
      <c r="G273"/>
    </row>
    <row r="274" spans="5:7" ht="12.75">
      <c r="E274"/>
      <c r="F274" s="15"/>
      <c r="G274"/>
    </row>
    <row r="275" spans="5:7" ht="12.75">
      <c r="E275"/>
      <c r="F275" s="15"/>
      <c r="G275"/>
    </row>
    <row r="276" spans="5:7" ht="12.75">
      <c r="E276"/>
      <c r="F276" s="15"/>
      <c r="G276"/>
    </row>
    <row r="277" spans="5:7" ht="12.75">
      <c r="E277"/>
      <c r="F277" s="15"/>
      <c r="G277"/>
    </row>
    <row r="278" spans="5:7" ht="12.75">
      <c r="E278"/>
      <c r="F278" s="15"/>
      <c r="G278"/>
    </row>
    <row r="279" spans="5:7" ht="12.75">
      <c r="E279"/>
      <c r="F279" s="15"/>
      <c r="G279"/>
    </row>
    <row r="280" spans="5:7" ht="12.75">
      <c r="E280"/>
      <c r="F280" s="15"/>
      <c r="G280"/>
    </row>
    <row r="281" spans="5:7" ht="12.75">
      <c r="E281"/>
      <c r="F281" s="15"/>
      <c r="G281"/>
    </row>
    <row r="282" spans="5:7" ht="12.75">
      <c r="E282"/>
      <c r="F282" s="15"/>
      <c r="G282"/>
    </row>
    <row r="283" spans="5:7" ht="12.75">
      <c r="E283"/>
      <c r="F283" s="15"/>
      <c r="G283"/>
    </row>
    <row r="284" spans="5:7" ht="12.75">
      <c r="E284"/>
      <c r="F284" s="15"/>
      <c r="G284"/>
    </row>
    <row r="285" spans="5:7" ht="12.75">
      <c r="E285"/>
      <c r="F285" s="15"/>
      <c r="G285"/>
    </row>
    <row r="286" spans="5:7" ht="12.75">
      <c r="E286"/>
      <c r="F286" s="15"/>
      <c r="G286"/>
    </row>
    <row r="287" spans="5:7" ht="12.75">
      <c r="E287"/>
      <c r="F287" s="15"/>
      <c r="G287"/>
    </row>
    <row r="288" spans="5:7" ht="12.75">
      <c r="E288"/>
      <c r="F288" s="15"/>
      <c r="G288"/>
    </row>
    <row r="289" spans="5:7" ht="12.75">
      <c r="E289"/>
      <c r="F289" s="15"/>
      <c r="G289"/>
    </row>
    <row r="290" spans="5:7" ht="12.75">
      <c r="E290"/>
      <c r="F290" s="15"/>
      <c r="G290"/>
    </row>
    <row r="291" spans="5:7" ht="12.75">
      <c r="E291"/>
      <c r="F291" s="15"/>
      <c r="G291"/>
    </row>
    <row r="292" spans="5:7" ht="12.75">
      <c r="E292"/>
      <c r="F292" s="15"/>
      <c r="G292"/>
    </row>
    <row r="293" spans="5:7" ht="12.75">
      <c r="E293"/>
      <c r="F293" s="15"/>
      <c r="G293"/>
    </row>
    <row r="294" spans="5:7" ht="12.75">
      <c r="E294"/>
      <c r="F294" s="15"/>
      <c r="G294"/>
    </row>
    <row r="295" spans="5:7" ht="12.75">
      <c r="E295"/>
      <c r="F295" s="15"/>
      <c r="G295"/>
    </row>
    <row r="296" spans="5:7" ht="12.75">
      <c r="E296"/>
      <c r="F296" s="15"/>
      <c r="G296"/>
    </row>
    <row r="297" spans="5:7" ht="12.75">
      <c r="E297"/>
      <c r="F297" s="15"/>
      <c r="G297"/>
    </row>
    <row r="298" spans="5:7" ht="12.75">
      <c r="E298"/>
      <c r="F298" s="15"/>
      <c r="G298"/>
    </row>
    <row r="299" spans="5:7" ht="12.75">
      <c r="E299"/>
      <c r="F299" s="15"/>
      <c r="G299"/>
    </row>
    <row r="300" spans="5:7" ht="12.75">
      <c r="E300"/>
      <c r="F300" s="15"/>
      <c r="G300"/>
    </row>
    <row r="301" spans="5:7" ht="12.75">
      <c r="E301"/>
      <c r="F301" s="15"/>
      <c r="G301"/>
    </row>
    <row r="302" spans="5:7" ht="12.75">
      <c r="E302"/>
      <c r="F302" s="15"/>
      <c r="G302"/>
    </row>
    <row r="303" spans="5:7" ht="12.75">
      <c r="E303"/>
      <c r="F303" s="15"/>
      <c r="G303"/>
    </row>
    <row r="304" spans="5:7" ht="12.75">
      <c r="E304"/>
      <c r="F304" s="15"/>
      <c r="G304"/>
    </row>
    <row r="305" spans="5:7" ht="12.75">
      <c r="E305"/>
      <c r="F305" s="15"/>
      <c r="G305"/>
    </row>
    <row r="306" spans="5:7" ht="12.75">
      <c r="E306"/>
      <c r="F306" s="15"/>
      <c r="G306"/>
    </row>
    <row r="307" spans="5:7" ht="12.75">
      <c r="E307"/>
      <c r="F307" s="15"/>
      <c r="G307"/>
    </row>
    <row r="308" spans="5:7" ht="12.75">
      <c r="E308"/>
      <c r="F308" s="15"/>
      <c r="G308"/>
    </row>
    <row r="309" spans="5:7" ht="12.75">
      <c r="E309"/>
      <c r="F309" s="15"/>
      <c r="G309"/>
    </row>
    <row r="310" spans="5:7" ht="12.75">
      <c r="E310"/>
      <c r="F310" s="15"/>
      <c r="G310"/>
    </row>
    <row r="311" spans="5:7" ht="12.75">
      <c r="E311"/>
      <c r="F311" s="15"/>
      <c r="G311"/>
    </row>
    <row r="312" spans="5:7" ht="12.75">
      <c r="E312"/>
      <c r="F312" s="15"/>
      <c r="G312"/>
    </row>
    <row r="313" spans="5:7" ht="12.75">
      <c r="E313"/>
      <c r="F313" s="15"/>
      <c r="G313"/>
    </row>
    <row r="314" spans="5:7" ht="12.75">
      <c r="E314"/>
      <c r="F314" s="15"/>
      <c r="G314"/>
    </row>
    <row r="315" spans="5:7" ht="12.75">
      <c r="E315"/>
      <c r="F315" s="15"/>
      <c r="G315"/>
    </row>
    <row r="316" spans="5:7" ht="12.75">
      <c r="E316"/>
      <c r="F316" s="15"/>
      <c r="G316"/>
    </row>
    <row r="317" spans="5:7" ht="12.75">
      <c r="E317"/>
      <c r="F317" s="15"/>
      <c r="G317"/>
    </row>
    <row r="318" spans="5:7" ht="12.75">
      <c r="E318"/>
      <c r="F318" s="15"/>
      <c r="G318"/>
    </row>
    <row r="319" spans="5:7" ht="12.75">
      <c r="E319"/>
      <c r="F319" s="15"/>
      <c r="G319"/>
    </row>
    <row r="320" spans="5:7" ht="12.75">
      <c r="E320"/>
      <c r="F320" s="15"/>
      <c r="G320"/>
    </row>
    <row r="321" spans="5:7" ht="12.75">
      <c r="E321"/>
      <c r="F321" s="15"/>
      <c r="G321"/>
    </row>
    <row r="322" spans="5:7" ht="12.75">
      <c r="E322"/>
      <c r="F322" s="15"/>
      <c r="G322"/>
    </row>
    <row r="323" spans="5:7" ht="12.75">
      <c r="E323"/>
      <c r="F323" s="15"/>
      <c r="G323"/>
    </row>
    <row r="324" spans="5:7" ht="12.75">
      <c r="E324"/>
      <c r="F324" s="15"/>
      <c r="G324"/>
    </row>
    <row r="325" spans="5:7" ht="12.75">
      <c r="E325"/>
      <c r="F325" s="15"/>
      <c r="G325"/>
    </row>
    <row r="326" spans="5:7" ht="12.75">
      <c r="E326"/>
      <c r="F326" s="15"/>
      <c r="G326"/>
    </row>
    <row r="327" spans="5:7" ht="12.75">
      <c r="E327"/>
      <c r="F327" s="15"/>
      <c r="G327"/>
    </row>
    <row r="328" spans="5:7" ht="12.75">
      <c r="E328"/>
      <c r="F328" s="15"/>
      <c r="G328"/>
    </row>
    <row r="329" spans="5:7" ht="12.75">
      <c r="E329"/>
      <c r="F329" s="15"/>
      <c r="G329"/>
    </row>
    <row r="330" spans="5:7" ht="12.75">
      <c r="E330"/>
      <c r="F330" s="15"/>
      <c r="G330"/>
    </row>
    <row r="331" spans="5:7" ht="12.75">
      <c r="E331"/>
      <c r="F331" s="15"/>
      <c r="G331"/>
    </row>
    <row r="332" spans="5:7" ht="12.75">
      <c r="E332"/>
      <c r="F332" s="15"/>
      <c r="G332"/>
    </row>
    <row r="333" spans="5:7" ht="12.75">
      <c r="E333"/>
      <c r="F333" s="15"/>
      <c r="G333"/>
    </row>
    <row r="334" spans="5:7" ht="12.75">
      <c r="E334"/>
      <c r="F334" s="15"/>
      <c r="G334"/>
    </row>
    <row r="335" spans="5:7" ht="12.75">
      <c r="E335"/>
      <c r="F335" s="15"/>
      <c r="G335"/>
    </row>
    <row r="336" spans="5:7" ht="12.75">
      <c r="E336"/>
      <c r="F336" s="15"/>
      <c r="G336"/>
    </row>
    <row r="337" spans="5:7" ht="12.75">
      <c r="E337"/>
      <c r="F337" s="15"/>
      <c r="G337"/>
    </row>
    <row r="338" spans="5:7" ht="12.75">
      <c r="E338"/>
      <c r="F338" s="15"/>
      <c r="G338"/>
    </row>
    <row r="339" spans="5:7" ht="12.75">
      <c r="E339"/>
      <c r="F339" s="15"/>
      <c r="G339"/>
    </row>
    <row r="340" spans="5:7" ht="12.75">
      <c r="E340"/>
      <c r="F340" s="15"/>
      <c r="G340"/>
    </row>
    <row r="341" spans="5:7" ht="12.75">
      <c r="E341"/>
      <c r="F341" s="15"/>
      <c r="G341"/>
    </row>
    <row r="342" spans="5:7" ht="12.75">
      <c r="E342"/>
      <c r="F342" s="15"/>
      <c r="G342"/>
    </row>
    <row r="343" spans="5:7" ht="12.75">
      <c r="E343"/>
      <c r="F343" s="15"/>
      <c r="G343"/>
    </row>
    <row r="344" spans="5:7" ht="12.75">
      <c r="E344"/>
      <c r="F344" s="15"/>
      <c r="G344"/>
    </row>
    <row r="345" spans="5:7" ht="12.75">
      <c r="E345"/>
      <c r="F345" s="15"/>
      <c r="G345"/>
    </row>
    <row r="346" spans="5:7" ht="12.75">
      <c r="E346"/>
      <c r="F346" s="15"/>
      <c r="G346"/>
    </row>
    <row r="347" spans="5:7" ht="12.75">
      <c r="E347"/>
      <c r="F347" s="15"/>
      <c r="G347"/>
    </row>
    <row r="348" spans="5:7" ht="12.75">
      <c r="E348"/>
      <c r="F348" s="15"/>
      <c r="G348"/>
    </row>
    <row r="349" spans="5:7" ht="12.75">
      <c r="E349"/>
      <c r="F349" s="15"/>
      <c r="G349"/>
    </row>
    <row r="350" spans="5:7" ht="12.75">
      <c r="E350"/>
      <c r="F350" s="15"/>
      <c r="G350"/>
    </row>
    <row r="351" spans="5:7" ht="12.75">
      <c r="E351"/>
      <c r="F351" s="15"/>
      <c r="G351"/>
    </row>
    <row r="352" spans="5:7" ht="12.75">
      <c r="E352"/>
      <c r="F352" s="15"/>
      <c r="G352"/>
    </row>
    <row r="353" spans="5:7" ht="12.75">
      <c r="E353"/>
      <c r="F353" s="15"/>
      <c r="G353"/>
    </row>
    <row r="354" spans="5:7" ht="12.75">
      <c r="E354"/>
      <c r="F354" s="15"/>
      <c r="G354"/>
    </row>
    <row r="355" spans="5:7" ht="12.75">
      <c r="E355"/>
      <c r="F355" s="15"/>
      <c r="G355"/>
    </row>
    <row r="356" spans="5:7" ht="12.75">
      <c r="E356"/>
      <c r="F356" s="15"/>
      <c r="G356"/>
    </row>
    <row r="357" spans="5:7" ht="12.75">
      <c r="E357"/>
      <c r="F357" s="15"/>
      <c r="G357"/>
    </row>
    <row r="358" spans="5:7" ht="12.75">
      <c r="E358"/>
      <c r="F358" s="15"/>
      <c r="G358"/>
    </row>
    <row r="359" spans="5:7" ht="12.75">
      <c r="E359"/>
      <c r="F359" s="15"/>
      <c r="G359"/>
    </row>
    <row r="360" spans="5:7" ht="12.75">
      <c r="E360"/>
      <c r="F360" s="15"/>
      <c r="G360"/>
    </row>
    <row r="361" spans="5:7" ht="12.75">
      <c r="E361"/>
      <c r="F361" s="15"/>
      <c r="G361"/>
    </row>
    <row r="362" spans="5:7" ht="12.75">
      <c r="E362"/>
      <c r="F362" s="15"/>
      <c r="G362"/>
    </row>
    <row r="363" spans="5:7" ht="12.75">
      <c r="E363"/>
      <c r="F363" s="15"/>
      <c r="G363"/>
    </row>
    <row r="364" spans="5:7" ht="12.75">
      <c r="E364"/>
      <c r="F364" s="15"/>
      <c r="G364"/>
    </row>
    <row r="365" spans="5:7" ht="12.75">
      <c r="E365"/>
      <c r="F365" s="15"/>
      <c r="G365"/>
    </row>
    <row r="366" spans="5:7" ht="12.75">
      <c r="E366"/>
      <c r="F366" s="15"/>
      <c r="G366"/>
    </row>
    <row r="367" spans="5:7" ht="12.75">
      <c r="E367"/>
      <c r="F367" s="15"/>
      <c r="G367"/>
    </row>
    <row r="368" spans="5:7" ht="12.75">
      <c r="E368"/>
      <c r="F368" s="15"/>
      <c r="G368"/>
    </row>
    <row r="369" spans="5:7" ht="12.75">
      <c r="E369"/>
      <c r="F369" s="15"/>
      <c r="G369"/>
    </row>
    <row r="370" spans="5:7" ht="12.75">
      <c r="E370"/>
      <c r="F370" s="15"/>
      <c r="G370"/>
    </row>
    <row r="371" spans="5:7" ht="12.75">
      <c r="E371"/>
      <c r="F371" s="15"/>
      <c r="G371"/>
    </row>
    <row r="372" spans="5:7" ht="12.75">
      <c r="E372"/>
      <c r="F372" s="15"/>
      <c r="G372"/>
    </row>
    <row r="373" spans="5:7" ht="12.75">
      <c r="E373"/>
      <c r="F373" s="15"/>
      <c r="G373"/>
    </row>
    <row r="374" spans="5:7" ht="12.75">
      <c r="E374"/>
      <c r="F374" s="15"/>
      <c r="G374"/>
    </row>
    <row r="375" spans="5:7" ht="12.75">
      <c r="E375"/>
      <c r="F375" s="15"/>
      <c r="G375"/>
    </row>
    <row r="376" spans="5:7" ht="12.75">
      <c r="E376"/>
      <c r="F376" s="15"/>
      <c r="G376"/>
    </row>
    <row r="377" spans="5:7" ht="12.75">
      <c r="E377"/>
      <c r="F377" s="15"/>
      <c r="G377"/>
    </row>
    <row r="378" spans="5:7" ht="12.75">
      <c r="E378"/>
      <c r="F378" s="15"/>
      <c r="G378"/>
    </row>
    <row r="379" spans="5:7" ht="12.75">
      <c r="E379"/>
      <c r="F379" s="15"/>
      <c r="G379"/>
    </row>
    <row r="380" spans="5:7" ht="12.75">
      <c r="E380"/>
      <c r="F380" s="15"/>
      <c r="G380"/>
    </row>
    <row r="381" spans="5:7" ht="12.75">
      <c r="E381"/>
      <c r="F381" s="15"/>
      <c r="G381"/>
    </row>
  </sheetData>
  <mergeCells count="1">
    <mergeCell ref="H91:N9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34">
      <selection activeCell="G116" sqref="G116:G127"/>
    </sheetView>
  </sheetViews>
  <sheetFormatPr defaultColWidth="9.140625" defaultRowHeight="12.75"/>
  <cols>
    <col min="1" max="1" width="7.28125" style="9" customWidth="1"/>
    <col min="2" max="4" width="12.57421875" style="9" bestFit="1" customWidth="1"/>
    <col min="5" max="5" width="11.57421875" style="9" bestFit="1" customWidth="1"/>
    <col min="6" max="6" width="12.57421875" style="9" customWidth="1"/>
    <col min="7" max="7" width="11.421875" style="9" customWidth="1"/>
    <col min="8" max="8" width="9.140625" style="9" customWidth="1"/>
    <col min="9" max="9" width="10.7109375" style="9" customWidth="1"/>
    <col min="10" max="10" width="10.140625" style="9" customWidth="1"/>
    <col min="11" max="16384" width="9.140625" style="9" customWidth="1"/>
  </cols>
  <sheetData>
    <row r="1" spans="1:7" ht="15.75">
      <c r="A1" s="207" t="s">
        <v>130</v>
      </c>
      <c r="B1" s="208"/>
      <c r="C1" s="208"/>
      <c r="D1" s="208"/>
      <c r="E1" s="208"/>
      <c r="F1" s="208"/>
      <c r="G1" s="209"/>
    </row>
    <row r="2" spans="1:11" ht="12.75">
      <c r="A2" s="37" t="s">
        <v>12</v>
      </c>
      <c r="B2" s="37" t="s">
        <v>89</v>
      </c>
      <c r="C2" s="37" t="s">
        <v>79</v>
      </c>
      <c r="D2" s="40" t="s">
        <v>90</v>
      </c>
      <c r="E2" s="40" t="s">
        <v>11</v>
      </c>
      <c r="F2" s="40" t="s">
        <v>91</v>
      </c>
      <c r="G2" s="66"/>
      <c r="I2" s="37" t="s">
        <v>89</v>
      </c>
      <c r="J2" s="37" t="s">
        <v>79</v>
      </c>
      <c r="K2" s="40" t="s">
        <v>11</v>
      </c>
    </row>
    <row r="3" spans="1:11" ht="12.75">
      <c r="A3" s="41" t="s">
        <v>78</v>
      </c>
      <c r="B3" s="27">
        <f>(F116*I3)*2.723</f>
        <v>1310.5309731359998</v>
      </c>
      <c r="C3" s="27">
        <f>(G116*J3)*2.723</f>
        <v>1107.10233627</v>
      </c>
      <c r="D3" s="27">
        <f>B3+C3</f>
        <v>2417.633309406</v>
      </c>
      <c r="E3" s="27">
        <f aca="true" t="shared" si="0" ref="E3:E14">(I116*K3)*2.723</f>
        <v>66.52441488000001</v>
      </c>
      <c r="F3" s="27">
        <f aca="true" t="shared" si="1" ref="F3:F14">(B3+C3)-E3</f>
        <v>2351.108894526</v>
      </c>
      <c r="G3" s="27"/>
      <c r="H3" s="41" t="s">
        <v>78</v>
      </c>
      <c r="I3" s="9">
        <v>0.44</v>
      </c>
      <c r="J3" s="9">
        <v>1.45</v>
      </c>
      <c r="K3" s="9">
        <v>0.02</v>
      </c>
    </row>
    <row r="4" spans="1:11" ht="12.75">
      <c r="A4" s="41" t="s">
        <v>0</v>
      </c>
      <c r="B4" s="27">
        <f aca="true" t="shared" si="2" ref="B4:B14">(F117*I4)*2.723</f>
        <v>2916.793208784</v>
      </c>
      <c r="C4" s="27">
        <f aca="true" t="shared" si="3" ref="C4:C14">(G117*J4)*2.723</f>
        <v>1356.3723426624001</v>
      </c>
      <c r="D4" s="27">
        <f aca="true" t="shared" si="4" ref="D4:D14">B4+C4</f>
        <v>4273.1655514464</v>
      </c>
      <c r="E4" s="27">
        <f t="shared" si="0"/>
        <v>39.30988152</v>
      </c>
      <c r="F4" s="27">
        <f t="shared" si="1"/>
        <v>4233.8556699264</v>
      </c>
      <c r="G4" s="27"/>
      <c r="H4" s="41" t="s">
        <v>0</v>
      </c>
      <c r="I4" s="9">
        <v>0.91</v>
      </c>
      <c r="J4" s="9">
        <v>1.44</v>
      </c>
      <c r="K4" s="9">
        <v>0.01</v>
      </c>
    </row>
    <row r="5" spans="1:11" ht="12.75">
      <c r="A5" s="41" t="s">
        <v>1</v>
      </c>
      <c r="B5" s="27">
        <f t="shared" si="2"/>
        <v>3709.3408969679995</v>
      </c>
      <c r="C5" s="27">
        <f t="shared" si="3"/>
        <v>3757.419905904</v>
      </c>
      <c r="D5" s="27">
        <f t="shared" si="4"/>
        <v>7466.760802872</v>
      </c>
      <c r="E5" s="27">
        <f t="shared" si="0"/>
        <v>1074.6500851800001</v>
      </c>
      <c r="F5" s="27">
        <f t="shared" si="1"/>
        <v>6392.1107176919995</v>
      </c>
      <c r="G5" s="27"/>
      <c r="H5" s="41" t="s">
        <v>1</v>
      </c>
      <c r="I5" s="9">
        <v>0.94</v>
      </c>
      <c r="J5" s="9">
        <v>1.14</v>
      </c>
      <c r="K5" s="9">
        <v>0.03</v>
      </c>
    </row>
    <row r="6" spans="1:11" ht="12.75">
      <c r="A6" s="41" t="s">
        <v>2</v>
      </c>
      <c r="B6" s="27">
        <f t="shared" si="2"/>
        <v>4991.5082786688</v>
      </c>
      <c r="C6" s="27">
        <f t="shared" si="3"/>
        <v>5429.148213468</v>
      </c>
      <c r="D6" s="27">
        <f t="shared" si="4"/>
        <v>10420.6564921368</v>
      </c>
      <c r="E6" s="27">
        <f t="shared" si="0"/>
        <v>2042.38593216</v>
      </c>
      <c r="F6" s="27">
        <f t="shared" si="1"/>
        <v>8378.270559976801</v>
      </c>
      <c r="G6" s="27"/>
      <c r="H6" s="41" t="s">
        <v>2</v>
      </c>
      <c r="I6" s="9">
        <v>0.543</v>
      </c>
      <c r="J6" s="9">
        <v>0.241</v>
      </c>
      <c r="K6" s="9">
        <v>0.064</v>
      </c>
    </row>
    <row r="7" spans="1:11" ht="12.75">
      <c r="A7" s="41" t="s">
        <v>3</v>
      </c>
      <c r="B7" s="27">
        <f t="shared" si="2"/>
        <v>2269.5538496736</v>
      </c>
      <c r="C7" s="27">
        <f t="shared" si="3"/>
        <v>6414.087533322001</v>
      </c>
      <c r="D7" s="27">
        <f t="shared" si="4"/>
        <v>8683.6413829956</v>
      </c>
      <c r="E7" s="27">
        <f t="shared" si="0"/>
        <v>313.1048262195</v>
      </c>
      <c r="F7" s="27">
        <f t="shared" si="1"/>
        <v>8370.5365567761</v>
      </c>
      <c r="G7" s="27"/>
      <c r="H7" s="41" t="s">
        <v>3</v>
      </c>
      <c r="I7" s="9">
        <v>0.223</v>
      </c>
      <c r="J7" s="9">
        <v>0.527</v>
      </c>
      <c r="K7" s="9">
        <v>0.129</v>
      </c>
    </row>
    <row r="8" spans="1:11" ht="12.75">
      <c r="A8" s="41" t="s">
        <v>4</v>
      </c>
      <c r="B8" s="27">
        <f t="shared" si="2"/>
        <v>3111.7875001919997</v>
      </c>
      <c r="C8" s="27">
        <f t="shared" si="3"/>
        <v>1471.2176734416003</v>
      </c>
      <c r="D8" s="27">
        <f t="shared" si="4"/>
        <v>4583.0051736336</v>
      </c>
      <c r="E8" s="27">
        <f t="shared" si="0"/>
        <v>1504.5749157599998</v>
      </c>
      <c r="F8" s="27">
        <f t="shared" si="1"/>
        <v>3078.4302578736</v>
      </c>
      <c r="G8" s="27"/>
      <c r="H8" s="41" t="s">
        <v>4</v>
      </c>
      <c r="I8" s="9">
        <v>0.261</v>
      </c>
      <c r="J8" s="9">
        <v>0.612</v>
      </c>
      <c r="K8" s="9">
        <v>0.036</v>
      </c>
    </row>
    <row r="9" spans="1:11" ht="12.75">
      <c r="A9" s="41" t="s">
        <v>5</v>
      </c>
      <c r="B9" s="27">
        <f t="shared" si="2"/>
        <v>2969.72520618375</v>
      </c>
      <c r="C9" s="27">
        <f t="shared" si="3"/>
        <v>625.7074795020001</v>
      </c>
      <c r="D9" s="27">
        <f t="shared" si="4"/>
        <v>3595.4326856857497</v>
      </c>
      <c r="E9" s="27">
        <f t="shared" si="0"/>
        <v>838.6120656921001</v>
      </c>
      <c r="F9" s="27">
        <f t="shared" si="1"/>
        <v>2756.8206199936494</v>
      </c>
      <c r="G9" s="27"/>
      <c r="H9" s="41" t="s">
        <v>5</v>
      </c>
      <c r="I9" s="9">
        <v>0.285</v>
      </c>
      <c r="J9" s="9">
        <v>0.534</v>
      </c>
      <c r="K9" s="9">
        <v>0.034</v>
      </c>
    </row>
    <row r="10" spans="1:11" ht="12.75">
      <c r="A10" s="41" t="s">
        <v>6</v>
      </c>
      <c r="B10" s="27">
        <f t="shared" si="2"/>
        <v>1945.1668714695</v>
      </c>
      <c r="C10" s="27">
        <f t="shared" si="3"/>
        <v>0</v>
      </c>
      <c r="D10" s="27">
        <f t="shared" si="4"/>
        <v>1945.1668714695</v>
      </c>
      <c r="E10" s="27">
        <f t="shared" si="0"/>
        <v>36.742319890500006</v>
      </c>
      <c r="F10" s="27">
        <f t="shared" si="1"/>
        <v>1908.4245515789999</v>
      </c>
      <c r="G10" s="27"/>
      <c r="H10" s="41" t="s">
        <v>6</v>
      </c>
      <c r="I10" s="9">
        <v>0.254</v>
      </c>
      <c r="J10" s="9">
        <v>0</v>
      </c>
      <c r="K10" s="9">
        <v>0.005</v>
      </c>
    </row>
    <row r="11" spans="1:11" ht="12.75">
      <c r="A11" s="41" t="s">
        <v>7</v>
      </c>
      <c r="B11" s="27">
        <f t="shared" si="2"/>
        <v>7788.702252869998</v>
      </c>
      <c r="C11" s="27">
        <f t="shared" si="3"/>
        <v>45.924525045</v>
      </c>
      <c r="D11" s="27">
        <f t="shared" si="4"/>
        <v>7834.6267779149985</v>
      </c>
      <c r="E11" s="27">
        <f t="shared" si="0"/>
        <v>0</v>
      </c>
      <c r="F11" s="27">
        <f t="shared" si="1"/>
        <v>7834.6267779149985</v>
      </c>
      <c r="G11" s="27"/>
      <c r="H11" s="41" t="s">
        <v>7</v>
      </c>
      <c r="I11" s="9">
        <v>0.564</v>
      </c>
      <c r="J11" s="9">
        <v>0.675</v>
      </c>
      <c r="K11" s="9">
        <v>0</v>
      </c>
    </row>
    <row r="12" spans="1:11" ht="12.75">
      <c r="A12" s="41" t="s">
        <v>8</v>
      </c>
      <c r="B12" s="27">
        <f t="shared" si="2"/>
        <v>1381.9799226239998</v>
      </c>
      <c r="C12" s="27">
        <f t="shared" si="3"/>
        <v>86.15781080109001</v>
      </c>
      <c r="D12" s="27">
        <f t="shared" si="4"/>
        <v>1468.1377334250897</v>
      </c>
      <c r="E12" s="27">
        <f t="shared" si="0"/>
        <v>0</v>
      </c>
      <c r="F12" s="27">
        <f t="shared" si="1"/>
        <v>1468.1377334250897</v>
      </c>
      <c r="G12" s="27"/>
      <c r="H12" s="41" t="s">
        <v>8</v>
      </c>
      <c r="I12" s="9">
        <v>0.344</v>
      </c>
      <c r="J12" s="9">
        <v>0.399</v>
      </c>
      <c r="K12" s="9">
        <v>0</v>
      </c>
    </row>
    <row r="13" spans="1:11" ht="12.75">
      <c r="A13" s="41" t="s">
        <v>9</v>
      </c>
      <c r="B13" s="27">
        <f t="shared" si="2"/>
        <v>1642.5914778</v>
      </c>
      <c r="C13" s="27">
        <f t="shared" si="3"/>
        <v>1777.4556897257999</v>
      </c>
      <c r="D13" s="27">
        <f t="shared" si="4"/>
        <v>3420.0471675257995</v>
      </c>
      <c r="E13" s="27">
        <f t="shared" si="0"/>
        <v>7.641128205899999</v>
      </c>
      <c r="F13" s="27">
        <f t="shared" si="1"/>
        <v>3412.4060393198997</v>
      </c>
      <c r="G13" s="27"/>
      <c r="H13" s="41" t="s">
        <v>9</v>
      </c>
      <c r="I13" s="9">
        <v>0.312</v>
      </c>
      <c r="J13" s="9">
        <v>2.098</v>
      </c>
      <c r="K13" s="9">
        <v>0.053</v>
      </c>
    </row>
    <row r="14" spans="1:11" ht="12.75">
      <c r="A14" s="41" t="s">
        <v>10</v>
      </c>
      <c r="B14" s="27">
        <f t="shared" si="2"/>
        <v>1798.1641137117003</v>
      </c>
      <c r="C14" s="27">
        <f t="shared" si="3"/>
        <v>2872.01909174145</v>
      </c>
      <c r="D14" s="27">
        <f t="shared" si="4"/>
        <v>4670.183205453151</v>
      </c>
      <c r="E14" s="27">
        <f t="shared" si="0"/>
        <v>77.12539357425</v>
      </c>
      <c r="F14" s="27">
        <f t="shared" si="1"/>
        <v>4593.057811878901</v>
      </c>
      <c r="G14" s="27"/>
      <c r="H14" s="41" t="s">
        <v>10</v>
      </c>
      <c r="I14" s="9">
        <v>1.207</v>
      </c>
      <c r="J14" s="9">
        <v>2.045</v>
      </c>
      <c r="K14" s="9">
        <v>0.097</v>
      </c>
    </row>
    <row r="15" spans="1:8" ht="12.75">
      <c r="A15" s="43" t="s">
        <v>32</v>
      </c>
      <c r="B15" s="134">
        <f>SUM(B3:B14)</f>
        <v>35835.844552081355</v>
      </c>
      <c r="C15" s="134">
        <f>SUM(C3:C14)</f>
        <v>24942.612601883346</v>
      </c>
      <c r="D15" s="134">
        <f>SUM(D3:D14)</f>
        <v>60778.457153964686</v>
      </c>
      <c r="E15" s="134">
        <f>SUM(E3:E14)</f>
        <v>6000.67096308225</v>
      </c>
      <c r="F15" s="134">
        <f>SUM(F3:F14)</f>
        <v>54777.78619088244</v>
      </c>
      <c r="G15" s="134"/>
      <c r="H15" s="9" t="s">
        <v>137</v>
      </c>
    </row>
    <row r="16" spans="2:8" ht="12.75">
      <c r="B16" s="38"/>
      <c r="C16" s="38"/>
      <c r="D16" s="38"/>
      <c r="E16" s="38"/>
      <c r="F16" s="38"/>
      <c r="G16" s="38"/>
      <c r="H16" s="9" t="s">
        <v>124</v>
      </c>
    </row>
    <row r="17" spans="2:7" ht="12.75">
      <c r="B17" s="38"/>
      <c r="C17" s="38"/>
      <c r="D17" s="38"/>
      <c r="E17" s="38"/>
      <c r="F17" s="38"/>
      <c r="G17" s="38"/>
    </row>
    <row r="18" spans="2:7" ht="12.75">
      <c r="B18" s="38"/>
      <c r="C18" s="38"/>
      <c r="D18" s="38"/>
      <c r="E18" s="38"/>
      <c r="F18" s="38"/>
      <c r="G18" s="38"/>
    </row>
    <row r="19" spans="2:7" ht="12.75">
      <c r="B19" s="38"/>
      <c r="C19" s="38"/>
      <c r="D19" s="38"/>
      <c r="E19" s="38"/>
      <c r="F19" s="38"/>
      <c r="G19" s="38"/>
    </row>
    <row r="20" spans="2:7" ht="12.75">
      <c r="B20" s="38"/>
      <c r="C20" s="38"/>
      <c r="D20" s="38"/>
      <c r="E20" s="38"/>
      <c r="F20" s="38"/>
      <c r="G20" s="38"/>
    </row>
    <row r="21" spans="2:7" ht="12.75">
      <c r="B21" s="38"/>
      <c r="C21" s="38"/>
      <c r="D21" s="38"/>
      <c r="E21" s="38"/>
      <c r="F21" s="38"/>
      <c r="G21" s="38"/>
    </row>
    <row r="22" spans="2:7" ht="12.75">
      <c r="B22" s="38"/>
      <c r="C22" s="38"/>
      <c r="D22" s="38"/>
      <c r="E22" s="38"/>
      <c r="F22" s="38"/>
      <c r="G22" s="38"/>
    </row>
    <row r="23" spans="2:7" ht="12.75">
      <c r="B23" s="38"/>
      <c r="C23" s="38"/>
      <c r="D23" s="38"/>
      <c r="E23" s="38"/>
      <c r="F23" s="38"/>
      <c r="G23" s="38"/>
    </row>
    <row r="24" spans="2:7" ht="12.75">
      <c r="B24" s="38"/>
      <c r="C24" s="38"/>
      <c r="D24" s="38"/>
      <c r="E24" s="38"/>
      <c r="F24" s="38"/>
      <c r="G24" s="38"/>
    </row>
    <row r="25" spans="2:7" ht="12.75">
      <c r="B25" s="38"/>
      <c r="C25" s="38"/>
      <c r="D25" s="38"/>
      <c r="E25" s="38"/>
      <c r="F25" s="38"/>
      <c r="G25" s="38"/>
    </row>
    <row r="26" spans="2:7" ht="12.75">
      <c r="B26" s="38"/>
      <c r="C26" s="38"/>
      <c r="D26" s="38"/>
      <c r="E26" s="38"/>
      <c r="F26" s="38"/>
      <c r="G26" s="38"/>
    </row>
    <row r="27" spans="2:7" ht="12.75">
      <c r="B27" s="38"/>
      <c r="C27" s="38"/>
      <c r="D27" s="38"/>
      <c r="E27" s="38"/>
      <c r="F27" s="38"/>
      <c r="G27" s="38"/>
    </row>
    <row r="28" spans="2:7" ht="12.75">
      <c r="B28" s="38"/>
      <c r="C28" s="38"/>
      <c r="D28" s="38"/>
      <c r="E28" s="38"/>
      <c r="F28" s="38"/>
      <c r="G28" s="38"/>
    </row>
    <row r="29" spans="2:7" ht="12.75">
      <c r="B29" s="38"/>
      <c r="C29" s="38"/>
      <c r="D29" s="38"/>
      <c r="E29" s="38"/>
      <c r="F29" s="38"/>
      <c r="G29" s="38"/>
    </row>
    <row r="30" spans="2:7" ht="12.75">
      <c r="B30" s="38"/>
      <c r="C30" s="38"/>
      <c r="D30" s="38"/>
      <c r="E30" s="38"/>
      <c r="F30" s="38"/>
      <c r="G30" s="38"/>
    </row>
    <row r="31" spans="2:7" ht="12.75">
      <c r="B31" s="38"/>
      <c r="C31" s="38"/>
      <c r="D31" s="38"/>
      <c r="E31" s="38"/>
      <c r="F31" s="38"/>
      <c r="G31" s="38"/>
    </row>
    <row r="32" spans="2:7" ht="12.75">
      <c r="B32" s="38"/>
      <c r="C32" s="38"/>
      <c r="D32" s="38"/>
      <c r="E32" s="38"/>
      <c r="F32" s="38"/>
      <c r="G32" s="38"/>
    </row>
    <row r="33" spans="2:7" ht="12.75">
      <c r="B33" s="38"/>
      <c r="C33" s="38"/>
      <c r="D33" s="38"/>
      <c r="E33" s="38"/>
      <c r="F33" s="38"/>
      <c r="G33" s="38"/>
    </row>
    <row r="34" spans="2:7" ht="12.75">
      <c r="B34" s="3"/>
      <c r="C34" s="3"/>
      <c r="D34" s="3"/>
      <c r="E34" s="3"/>
      <c r="F34" s="3"/>
      <c r="G34" s="3"/>
    </row>
    <row r="35" spans="2:7" ht="12.75">
      <c r="B35" s="3"/>
      <c r="C35" s="3"/>
      <c r="D35" s="3"/>
      <c r="E35" s="3"/>
      <c r="F35" s="3"/>
      <c r="G35" s="3"/>
    </row>
    <row r="36" ht="12.75">
      <c r="J36" s="3"/>
    </row>
    <row r="37" spans="1:7" ht="15.75">
      <c r="A37" s="207" t="s">
        <v>136</v>
      </c>
      <c r="B37" s="208"/>
      <c r="C37" s="208"/>
      <c r="D37" s="208"/>
      <c r="E37" s="208"/>
      <c r="F37" s="208"/>
      <c r="G37" s="209"/>
    </row>
    <row r="38" spans="1:11" ht="12.75">
      <c r="A38" s="37" t="s">
        <v>13</v>
      </c>
      <c r="B38" s="37" t="s">
        <v>89</v>
      </c>
      <c r="C38" s="37" t="s">
        <v>79</v>
      </c>
      <c r="D38" s="40" t="s">
        <v>90</v>
      </c>
      <c r="E38" s="40" t="s">
        <v>11</v>
      </c>
      <c r="F38" s="40" t="s">
        <v>91</v>
      </c>
      <c r="G38" s="66"/>
      <c r="I38" s="37" t="s">
        <v>89</v>
      </c>
      <c r="J38" s="37" t="s">
        <v>79</v>
      </c>
      <c r="K38" s="40" t="s">
        <v>11</v>
      </c>
    </row>
    <row r="39" spans="1:11" ht="12.75">
      <c r="A39" s="41" t="s">
        <v>78</v>
      </c>
      <c r="B39" s="42">
        <f>(F116*I39)*2.723</f>
        <v>119.13917937599999</v>
      </c>
      <c r="C39" s="42">
        <f>(G116*J39)*2.72</f>
        <v>22.880329920000005</v>
      </c>
      <c r="D39" s="42">
        <f>B39+C39</f>
        <v>142.019509296</v>
      </c>
      <c r="E39" s="42">
        <f aca="true" t="shared" si="5" ref="E39:E50">(I116*K39)*2.723</f>
        <v>133.04882976000002</v>
      </c>
      <c r="F39" s="42">
        <f aca="true" t="shared" si="6" ref="F39:F50">(B39+C39)-E39</f>
        <v>8.970679535999977</v>
      </c>
      <c r="G39" s="42"/>
      <c r="H39" s="41" t="s">
        <v>78</v>
      </c>
      <c r="I39" s="9">
        <v>0.04</v>
      </c>
      <c r="J39" s="9">
        <v>0.03</v>
      </c>
      <c r="K39" s="9">
        <v>0.04</v>
      </c>
    </row>
    <row r="40" spans="1:11" ht="12.75">
      <c r="A40" s="41" t="s">
        <v>0</v>
      </c>
      <c r="B40" s="42">
        <f aca="true" t="shared" si="7" ref="B40:B50">(F117*I40)*2.723</f>
        <v>128.210690496</v>
      </c>
      <c r="C40" s="42">
        <f aca="true" t="shared" si="8" ref="C40:C50">(G117*J40)*2.72</f>
        <v>37.63549977600001</v>
      </c>
      <c r="D40" s="42">
        <f aca="true" t="shared" si="9" ref="D40:D50">B40+C40</f>
        <v>165.84619027200003</v>
      </c>
      <c r="E40" s="42">
        <f t="shared" si="5"/>
        <v>78.61976304</v>
      </c>
      <c r="F40" s="42">
        <f t="shared" si="6"/>
        <v>87.22642723200003</v>
      </c>
      <c r="G40" s="42"/>
      <c r="H40" s="41" t="s">
        <v>0</v>
      </c>
      <c r="I40" s="9">
        <v>0.04</v>
      </c>
      <c r="J40" s="9">
        <v>0.04</v>
      </c>
      <c r="K40" s="9">
        <v>0.02</v>
      </c>
    </row>
    <row r="41" spans="1:11" ht="12.75">
      <c r="A41" s="41" t="s">
        <v>1</v>
      </c>
      <c r="B41" s="42">
        <f t="shared" si="7"/>
        <v>78.922146744</v>
      </c>
      <c r="C41" s="42">
        <f t="shared" si="8"/>
        <v>296.31159936000006</v>
      </c>
      <c r="D41" s="42">
        <f t="shared" si="9"/>
        <v>375.23374610400003</v>
      </c>
      <c r="E41" s="42">
        <f t="shared" si="5"/>
        <v>179.10834753</v>
      </c>
      <c r="F41" s="42">
        <f t="shared" si="6"/>
        <v>196.12539857400003</v>
      </c>
      <c r="G41" s="42"/>
      <c r="H41" s="41" t="s">
        <v>1</v>
      </c>
      <c r="I41" s="9">
        <v>0.02</v>
      </c>
      <c r="J41" s="9">
        <v>0.09</v>
      </c>
      <c r="K41" s="9">
        <v>0.005</v>
      </c>
    </row>
    <row r="42" spans="1:11" ht="12.75">
      <c r="A42" s="41" t="s">
        <v>2</v>
      </c>
      <c r="B42" s="42">
        <f t="shared" si="7"/>
        <v>202.23422123519995</v>
      </c>
      <c r="C42" s="42">
        <f t="shared" si="8"/>
        <v>2520.3098726400003</v>
      </c>
      <c r="D42" s="42">
        <f t="shared" si="9"/>
        <v>2722.5440938752004</v>
      </c>
      <c r="E42" s="42">
        <f t="shared" si="5"/>
        <v>670.1578839900001</v>
      </c>
      <c r="F42" s="42">
        <f t="shared" si="6"/>
        <v>2052.3862098852005</v>
      </c>
      <c r="G42" s="42"/>
      <c r="H42" s="41" t="s">
        <v>2</v>
      </c>
      <c r="I42" s="9">
        <v>0.022</v>
      </c>
      <c r="J42" s="9">
        <v>0.112</v>
      </c>
      <c r="K42" s="9">
        <v>0.021</v>
      </c>
    </row>
    <row r="43" spans="1:11" ht="12.75">
      <c r="A43" s="41" t="s">
        <v>3</v>
      </c>
      <c r="B43" s="42">
        <f t="shared" si="7"/>
        <v>193.37005894079996</v>
      </c>
      <c r="C43" s="42">
        <f t="shared" si="8"/>
        <v>1361.6439244800004</v>
      </c>
      <c r="D43" s="42">
        <f t="shared" si="9"/>
        <v>1555.0139834208003</v>
      </c>
      <c r="E43" s="42">
        <f t="shared" si="5"/>
        <v>80.09658345150001</v>
      </c>
      <c r="F43" s="42">
        <f t="shared" si="6"/>
        <v>1474.9173999693003</v>
      </c>
      <c r="G43" s="42"/>
      <c r="H43" s="41" t="s">
        <v>3</v>
      </c>
      <c r="I43" s="9">
        <v>0.019</v>
      </c>
      <c r="J43" s="9">
        <v>0.112</v>
      </c>
      <c r="K43" s="9">
        <v>0.033</v>
      </c>
    </row>
    <row r="44" spans="1:11" ht="12.75">
      <c r="A44" s="41" t="s">
        <v>4</v>
      </c>
      <c r="B44" s="42">
        <f t="shared" si="7"/>
        <v>429.2120689919999</v>
      </c>
      <c r="C44" s="42">
        <f t="shared" si="8"/>
        <v>165.68983468800005</v>
      </c>
      <c r="D44" s="42">
        <f t="shared" si="9"/>
        <v>594.9019036799999</v>
      </c>
      <c r="E44" s="42">
        <f t="shared" si="5"/>
        <v>1922.51239236</v>
      </c>
      <c r="F44" s="42">
        <f t="shared" si="6"/>
        <v>-1327.61048868</v>
      </c>
      <c r="G44" s="42"/>
      <c r="H44" s="41" t="s">
        <v>4</v>
      </c>
      <c r="I44" s="9">
        <v>0.036</v>
      </c>
      <c r="J44" s="9">
        <v>0.069</v>
      </c>
      <c r="K44" s="9">
        <v>0.046</v>
      </c>
    </row>
    <row r="45" spans="1:11" ht="12.75">
      <c r="A45" s="41" t="s">
        <v>5</v>
      </c>
      <c r="B45" s="42">
        <f t="shared" si="7"/>
        <v>187.5615919695</v>
      </c>
      <c r="C45" s="42">
        <f t="shared" si="8"/>
        <v>72.56764704000001</v>
      </c>
      <c r="D45" s="42">
        <f t="shared" si="9"/>
        <v>260.1292390095</v>
      </c>
      <c r="E45" s="42">
        <f t="shared" si="5"/>
        <v>1627.8940098729001</v>
      </c>
      <c r="F45" s="42">
        <f t="shared" si="6"/>
        <v>-1367.7647708634001</v>
      </c>
      <c r="G45" s="42"/>
      <c r="H45" s="41" t="s">
        <v>5</v>
      </c>
      <c r="I45" s="9">
        <v>0.018</v>
      </c>
      <c r="J45" s="9">
        <v>0.062</v>
      </c>
      <c r="K45" s="9">
        <v>0.066</v>
      </c>
    </row>
    <row r="46" spans="1:11" ht="12.75">
      <c r="A46" s="41" t="s">
        <v>6</v>
      </c>
      <c r="B46" s="42">
        <f t="shared" si="7"/>
        <v>352.2743153055</v>
      </c>
      <c r="C46" s="42">
        <f t="shared" si="8"/>
        <v>0</v>
      </c>
      <c r="D46" s="42">
        <f t="shared" si="9"/>
        <v>352.2743153055</v>
      </c>
      <c r="E46" s="42">
        <f t="shared" si="5"/>
        <v>286.5900951459</v>
      </c>
      <c r="F46" s="42">
        <f t="shared" si="6"/>
        <v>65.68422015959999</v>
      </c>
      <c r="G46" s="42"/>
      <c r="H46" s="41" t="s">
        <v>6</v>
      </c>
      <c r="I46" s="9">
        <v>0.046</v>
      </c>
      <c r="J46" s="9">
        <v>0</v>
      </c>
      <c r="K46" s="9">
        <v>0.039</v>
      </c>
    </row>
    <row r="47" spans="1:11" ht="12.75">
      <c r="A47" s="41" t="s">
        <v>7</v>
      </c>
      <c r="B47" s="42">
        <f t="shared" si="7"/>
        <v>1664.0755699837498</v>
      </c>
      <c r="C47" s="42">
        <f t="shared" si="8"/>
        <v>3.9417598080000005</v>
      </c>
      <c r="D47" s="42">
        <f t="shared" si="9"/>
        <v>1668.0173297917497</v>
      </c>
      <c r="E47" s="42">
        <f t="shared" si="5"/>
        <v>641.1857453504999</v>
      </c>
      <c r="F47" s="42">
        <f t="shared" si="6"/>
        <v>1026.8315844412498</v>
      </c>
      <c r="G47" s="42"/>
      <c r="H47" s="41" t="s">
        <v>7</v>
      </c>
      <c r="I47" s="9">
        <v>0.1205</v>
      </c>
      <c r="J47" s="9">
        <v>0.058</v>
      </c>
      <c r="K47" s="9">
        <v>0.043</v>
      </c>
    </row>
    <row r="48" spans="1:11" ht="12.75">
      <c r="A48" s="41" t="s">
        <v>8</v>
      </c>
      <c r="B48" s="42">
        <f t="shared" si="7"/>
        <v>84.365053416</v>
      </c>
      <c r="C48" s="42">
        <f t="shared" si="8"/>
        <v>6.470893872</v>
      </c>
      <c r="D48" s="42">
        <f t="shared" si="9"/>
        <v>90.835947288</v>
      </c>
      <c r="E48" s="42">
        <f t="shared" si="5"/>
        <v>4.76729508192</v>
      </c>
      <c r="F48" s="42">
        <f t="shared" si="6"/>
        <v>86.06865220608</v>
      </c>
      <c r="G48" s="42"/>
      <c r="H48" s="41" t="s">
        <v>8</v>
      </c>
      <c r="I48" s="9">
        <v>0.021</v>
      </c>
      <c r="J48" s="9">
        <v>0.03</v>
      </c>
      <c r="K48" s="9">
        <v>0.032</v>
      </c>
    </row>
    <row r="49" spans="1:11" ht="12.75">
      <c r="A49" s="41" t="s">
        <v>9</v>
      </c>
      <c r="B49" s="42">
        <f t="shared" si="7"/>
        <v>126.35319059999999</v>
      </c>
      <c r="C49" s="42">
        <f t="shared" si="8"/>
        <v>91.39834195200001</v>
      </c>
      <c r="D49" s="42">
        <f t="shared" si="9"/>
        <v>217.75153255200001</v>
      </c>
      <c r="E49" s="42">
        <f t="shared" si="5"/>
        <v>3.0276168363</v>
      </c>
      <c r="F49" s="42">
        <f t="shared" si="6"/>
        <v>214.7239157157</v>
      </c>
      <c r="G49" s="42"/>
      <c r="H49" s="41" t="s">
        <v>9</v>
      </c>
      <c r="I49" s="9">
        <v>0.024</v>
      </c>
      <c r="J49" s="9">
        <v>0.108</v>
      </c>
      <c r="K49" s="9">
        <v>0.021</v>
      </c>
    </row>
    <row r="50" spans="1:11" ht="12.75">
      <c r="A50" s="41" t="s">
        <v>10</v>
      </c>
      <c r="B50" s="42">
        <f t="shared" si="7"/>
        <v>135.56995389210002</v>
      </c>
      <c r="C50" s="42">
        <f t="shared" si="8"/>
        <v>110.82618003360001</v>
      </c>
      <c r="D50" s="42">
        <f t="shared" si="9"/>
        <v>246.39613392570004</v>
      </c>
      <c r="E50" s="42">
        <f t="shared" si="5"/>
        <v>17.492357305499997</v>
      </c>
      <c r="F50" s="42">
        <f t="shared" si="6"/>
        <v>228.90377662020003</v>
      </c>
      <c r="G50" s="42"/>
      <c r="H50" s="41" t="s">
        <v>10</v>
      </c>
      <c r="I50" s="9">
        <v>0.091</v>
      </c>
      <c r="J50" s="9">
        <v>0.079</v>
      </c>
      <c r="K50" s="9">
        <v>0.022</v>
      </c>
    </row>
    <row r="51" spans="1:7" ht="12.75">
      <c r="A51" s="40" t="s">
        <v>32</v>
      </c>
      <c r="B51" s="44">
        <f>SUM(B39:B50)</f>
        <v>3701.2880409508493</v>
      </c>
      <c r="C51" s="44">
        <f>SUM(C39:C50)</f>
        <v>4689.675883569601</v>
      </c>
      <c r="D51" s="44">
        <f>SUM(D39:D50)</f>
        <v>8390.96392452045</v>
      </c>
      <c r="E51" s="44">
        <f>SUM(E39:E50)</f>
        <v>5644.50091972452</v>
      </c>
      <c r="F51" s="44">
        <f>SUM(F39:F50)</f>
        <v>2746.463004795931</v>
      </c>
      <c r="G51" s="44"/>
    </row>
    <row r="52" spans="2:7" ht="12.75">
      <c r="B52" s="38"/>
      <c r="C52" s="38"/>
      <c r="D52" s="38"/>
      <c r="E52" s="38"/>
      <c r="F52" s="38"/>
      <c r="G52" s="38"/>
    </row>
    <row r="53" spans="2:7" ht="12.75">
      <c r="B53" s="38"/>
      <c r="C53" s="38"/>
      <c r="D53" s="38"/>
      <c r="E53" s="38"/>
      <c r="F53" s="38"/>
      <c r="G53" s="38"/>
    </row>
    <row r="54" spans="2:7" ht="12.75">
      <c r="B54" s="38"/>
      <c r="C54" s="38"/>
      <c r="D54" s="38"/>
      <c r="E54" s="38"/>
      <c r="F54" s="38"/>
      <c r="G54" s="38"/>
    </row>
    <row r="55" spans="2:7" ht="12.75">
      <c r="B55" s="38"/>
      <c r="C55" s="38"/>
      <c r="D55" s="38"/>
      <c r="E55" s="38"/>
      <c r="F55" s="38"/>
      <c r="G55" s="38"/>
    </row>
    <row r="56" spans="2:7" ht="12.75">
      <c r="B56" s="38"/>
      <c r="C56" s="38"/>
      <c r="D56" s="38"/>
      <c r="E56" s="38"/>
      <c r="F56" s="38"/>
      <c r="G56" s="38"/>
    </row>
    <row r="57" spans="2:7" ht="12.75">
      <c r="B57" s="38"/>
      <c r="C57" s="38"/>
      <c r="D57" s="38"/>
      <c r="E57" s="38"/>
      <c r="F57" s="38"/>
      <c r="G57" s="38"/>
    </row>
    <row r="58" spans="2:7" ht="12.75">
      <c r="B58" s="38"/>
      <c r="C58" s="38"/>
      <c r="D58" s="38"/>
      <c r="E58" s="38"/>
      <c r="F58" s="38"/>
      <c r="G58" s="38"/>
    </row>
    <row r="59" spans="2:7" ht="12.75">
      <c r="B59" s="38"/>
      <c r="C59" s="38"/>
      <c r="D59" s="38"/>
      <c r="E59" s="38"/>
      <c r="F59" s="38"/>
      <c r="G59" s="38"/>
    </row>
    <row r="60" spans="2:7" ht="12" customHeight="1">
      <c r="B60" s="38"/>
      <c r="C60" s="38"/>
      <c r="D60" s="38"/>
      <c r="E60" s="38"/>
      <c r="F60" s="38"/>
      <c r="G60" s="38"/>
    </row>
    <row r="61" spans="2:7" ht="12.75">
      <c r="B61" s="38"/>
      <c r="C61" s="38"/>
      <c r="D61" s="38"/>
      <c r="E61" s="38"/>
      <c r="F61" s="38"/>
      <c r="G61" s="38"/>
    </row>
    <row r="62" spans="2:7" ht="12.75">
      <c r="B62" s="38"/>
      <c r="C62" s="38"/>
      <c r="D62" s="38"/>
      <c r="E62" s="38"/>
      <c r="F62" s="38"/>
      <c r="G62" s="38"/>
    </row>
    <row r="63" spans="2:7" ht="12.75">
      <c r="B63" s="38"/>
      <c r="C63" s="38"/>
      <c r="D63" s="38"/>
      <c r="E63" s="38"/>
      <c r="F63" s="38"/>
      <c r="G63" s="38"/>
    </row>
    <row r="64" spans="2:7" ht="12.75">
      <c r="B64" s="38"/>
      <c r="C64" s="38"/>
      <c r="D64" s="38"/>
      <c r="E64" s="38"/>
      <c r="F64" s="38"/>
      <c r="G64" s="38"/>
    </row>
    <row r="65" spans="2:7" ht="12.75">
      <c r="B65" s="38"/>
      <c r="C65" s="38"/>
      <c r="D65" s="38"/>
      <c r="E65" s="38"/>
      <c r="F65" s="38"/>
      <c r="G65" s="38"/>
    </row>
    <row r="66" spans="2:7" ht="12.75">
      <c r="B66" s="38"/>
      <c r="C66" s="38"/>
      <c r="D66" s="38"/>
      <c r="E66" s="38"/>
      <c r="F66" s="38"/>
      <c r="G66" s="38"/>
    </row>
    <row r="67" spans="2:7" ht="12.75">
      <c r="B67" s="38"/>
      <c r="C67" s="38"/>
      <c r="D67" s="38"/>
      <c r="E67" s="38"/>
      <c r="F67" s="38"/>
      <c r="G67" s="38"/>
    </row>
    <row r="68" spans="2:7" ht="12.75">
      <c r="B68" s="38"/>
      <c r="C68" s="38"/>
      <c r="D68" s="38"/>
      <c r="E68" s="38"/>
      <c r="F68" s="38"/>
      <c r="G68" s="38"/>
    </row>
    <row r="69" spans="2:7" ht="12.75">
      <c r="B69" s="38"/>
      <c r="C69" s="38"/>
      <c r="D69" s="38"/>
      <c r="E69" s="38"/>
      <c r="F69" s="38"/>
      <c r="G69" s="38"/>
    </row>
    <row r="70" spans="2:7" ht="12" customHeight="1">
      <c r="B70" s="38"/>
      <c r="C70" s="38"/>
      <c r="D70" s="38"/>
      <c r="E70" s="38"/>
      <c r="F70" s="38"/>
      <c r="G70" s="38"/>
    </row>
    <row r="71" spans="2:7" ht="12" customHeight="1">
      <c r="B71" s="38"/>
      <c r="C71" s="38"/>
      <c r="D71" s="38"/>
      <c r="E71" s="38"/>
      <c r="F71" s="38"/>
      <c r="G71" s="38"/>
    </row>
    <row r="72" spans="2:7" ht="12.75">
      <c r="B72" s="38"/>
      <c r="C72" s="38"/>
      <c r="D72" s="38"/>
      <c r="E72" s="38"/>
      <c r="F72" s="38"/>
      <c r="G72" s="38"/>
    </row>
    <row r="73" spans="2:7" ht="12.75">
      <c r="B73" s="38"/>
      <c r="C73" s="38"/>
      <c r="D73" s="38"/>
      <c r="E73" s="38"/>
      <c r="F73" s="38"/>
      <c r="G73" s="38"/>
    </row>
    <row r="74" spans="1:7" ht="12.75">
      <c r="A74" s="149" t="s">
        <v>100</v>
      </c>
      <c r="B74" s="149" t="s">
        <v>89</v>
      </c>
      <c r="C74" s="149" t="s">
        <v>79</v>
      </c>
      <c r="D74" s="149" t="s">
        <v>90</v>
      </c>
      <c r="E74" s="149" t="s">
        <v>11</v>
      </c>
      <c r="F74" s="149" t="s">
        <v>91</v>
      </c>
      <c r="G74" s="150"/>
    </row>
    <row r="75" spans="1:11" ht="12.75">
      <c r="A75" s="149"/>
      <c r="B75" s="151" t="s">
        <v>134</v>
      </c>
      <c r="C75" s="151" t="s">
        <v>134</v>
      </c>
      <c r="D75" s="151" t="s">
        <v>134</v>
      </c>
      <c r="E75" s="151" t="s">
        <v>134</v>
      </c>
      <c r="F75" s="151" t="s">
        <v>134</v>
      </c>
      <c r="G75" s="150"/>
      <c r="I75" s="37" t="s">
        <v>89</v>
      </c>
      <c r="J75" s="37" t="s">
        <v>79</v>
      </c>
      <c r="K75" s="40" t="s">
        <v>11</v>
      </c>
    </row>
    <row r="76" spans="1:11" ht="12.75">
      <c r="A76" s="149" t="s">
        <v>78</v>
      </c>
      <c r="B76" s="27">
        <f>(F116*I76)*2.72</f>
        <v>0</v>
      </c>
      <c r="C76" s="27">
        <f>(G116*J76)*2.72</f>
        <v>6101.421312000001</v>
      </c>
      <c r="D76" s="27">
        <f>B76+C76</f>
        <v>6101.421312000001</v>
      </c>
      <c r="E76" s="27">
        <f aca="true" t="shared" si="10" ref="E76:E87">(I116*K76)*2.723</f>
        <v>0</v>
      </c>
      <c r="F76" s="27">
        <f aca="true" t="shared" si="11" ref="F76:F87">(B76+C76)-E76</f>
        <v>6101.421312000001</v>
      </c>
      <c r="G76" s="137"/>
      <c r="H76" s="41" t="s">
        <v>78</v>
      </c>
      <c r="I76" s="9">
        <v>0</v>
      </c>
      <c r="J76" s="9">
        <v>8</v>
      </c>
      <c r="K76" s="9">
        <v>0</v>
      </c>
    </row>
    <row r="77" spans="1:11" ht="12.75">
      <c r="A77" s="149" t="s">
        <v>0</v>
      </c>
      <c r="B77" s="27">
        <f aca="true" t="shared" si="12" ref="B77:B87">(F117*I77)*2.72</f>
        <v>19210.415616000002</v>
      </c>
      <c r="C77" s="27">
        <f aca="true" t="shared" si="13" ref="C77:C87">(G117*J77)*2.72</f>
        <v>5645.324966400001</v>
      </c>
      <c r="D77" s="27">
        <f aca="true" t="shared" si="14" ref="D77:D87">B77+C77</f>
        <v>24855.7405824</v>
      </c>
      <c r="E77" s="27">
        <f t="shared" si="10"/>
        <v>0</v>
      </c>
      <c r="F77" s="27">
        <f t="shared" si="11"/>
        <v>24855.7405824</v>
      </c>
      <c r="G77" s="137"/>
      <c r="H77" s="41" t="s">
        <v>0</v>
      </c>
      <c r="I77" s="9">
        <v>6</v>
      </c>
      <c r="J77" s="9">
        <v>6</v>
      </c>
      <c r="K77" s="9">
        <v>0</v>
      </c>
    </row>
    <row r="78" spans="1:11" ht="12.75">
      <c r="A78" s="149" t="s">
        <v>1</v>
      </c>
      <c r="B78" s="27">
        <f t="shared" si="12"/>
        <v>0</v>
      </c>
      <c r="C78" s="27">
        <f t="shared" si="13"/>
        <v>111939.93753600003</v>
      </c>
      <c r="D78" s="27">
        <f t="shared" si="14"/>
        <v>111939.93753600003</v>
      </c>
      <c r="E78" s="27">
        <f t="shared" si="10"/>
        <v>0</v>
      </c>
      <c r="F78" s="27">
        <f t="shared" si="11"/>
        <v>111939.93753600003</v>
      </c>
      <c r="G78" s="137"/>
      <c r="H78" s="41" t="s">
        <v>1</v>
      </c>
      <c r="I78" s="9">
        <v>0</v>
      </c>
      <c r="J78" s="9">
        <v>34</v>
      </c>
      <c r="K78" s="9">
        <v>0</v>
      </c>
    </row>
    <row r="79" spans="1:11" ht="12.75">
      <c r="A79" s="149" t="s">
        <v>2</v>
      </c>
      <c r="B79" s="27">
        <f t="shared" si="12"/>
        <v>91823.37024</v>
      </c>
      <c r="C79" s="27">
        <f t="shared" si="13"/>
        <v>1687707.5040000004</v>
      </c>
      <c r="D79" s="27">
        <f t="shared" si="14"/>
        <v>1779530.8742400005</v>
      </c>
      <c r="E79" s="27">
        <f t="shared" si="10"/>
        <v>287210.52171</v>
      </c>
      <c r="F79" s="27">
        <f t="shared" si="11"/>
        <v>1492320.3525300005</v>
      </c>
      <c r="G79" s="137"/>
      <c r="H79" s="41" t="s">
        <v>2</v>
      </c>
      <c r="I79" s="9">
        <v>10</v>
      </c>
      <c r="J79" s="9">
        <v>75</v>
      </c>
      <c r="K79" s="9">
        <v>9</v>
      </c>
    </row>
    <row r="80" spans="1:11" ht="12.75">
      <c r="A80" s="149" t="s">
        <v>3</v>
      </c>
      <c r="B80" s="27">
        <f t="shared" si="12"/>
        <v>0</v>
      </c>
      <c r="C80" s="27">
        <f t="shared" si="13"/>
        <v>620034.2870400002</v>
      </c>
      <c r="D80" s="27">
        <f t="shared" si="14"/>
        <v>620034.2870400002</v>
      </c>
      <c r="E80" s="27">
        <f t="shared" si="10"/>
        <v>0</v>
      </c>
      <c r="F80" s="27">
        <f t="shared" si="11"/>
        <v>620034.2870400002</v>
      </c>
      <c r="G80" s="137"/>
      <c r="H80" s="41" t="s">
        <v>3</v>
      </c>
      <c r="I80" s="9">
        <v>0</v>
      </c>
      <c r="J80" s="9">
        <v>51</v>
      </c>
      <c r="K80" s="9">
        <v>0</v>
      </c>
    </row>
    <row r="81" spans="1:11" ht="12.75">
      <c r="A81" s="149" t="s">
        <v>4</v>
      </c>
      <c r="B81" s="27">
        <f t="shared" si="12"/>
        <v>440648.6169600001</v>
      </c>
      <c r="C81" s="27">
        <f t="shared" si="13"/>
        <v>60032.548800000004</v>
      </c>
      <c r="D81" s="27">
        <f t="shared" si="14"/>
        <v>500681.16576000006</v>
      </c>
      <c r="E81" s="27">
        <f t="shared" si="10"/>
        <v>208968.7383</v>
      </c>
      <c r="F81" s="27">
        <f t="shared" si="11"/>
        <v>291712.42746000004</v>
      </c>
      <c r="G81" s="137"/>
      <c r="H81" s="41" t="s">
        <v>4</v>
      </c>
      <c r="I81" s="9">
        <v>37</v>
      </c>
      <c r="J81" s="9">
        <v>25</v>
      </c>
      <c r="K81" s="9">
        <v>5</v>
      </c>
    </row>
    <row r="82" spans="1:11" ht="12.75">
      <c r="A82" s="149" t="s">
        <v>5</v>
      </c>
      <c r="B82" s="27">
        <f t="shared" si="12"/>
        <v>62451.65016000001</v>
      </c>
      <c r="C82" s="27">
        <f t="shared" si="13"/>
        <v>8193.12144</v>
      </c>
      <c r="D82" s="27">
        <f t="shared" si="14"/>
        <v>70644.77160000001</v>
      </c>
      <c r="E82" s="27">
        <f t="shared" si="10"/>
        <v>221985.54680085002</v>
      </c>
      <c r="F82" s="27">
        <f t="shared" si="11"/>
        <v>-151340.77520085</v>
      </c>
      <c r="G82" s="137"/>
      <c r="H82" s="41" t="s">
        <v>5</v>
      </c>
      <c r="I82" s="9">
        <v>6</v>
      </c>
      <c r="J82" s="9">
        <v>7</v>
      </c>
      <c r="K82" s="9">
        <v>9</v>
      </c>
    </row>
    <row r="83" spans="1:11" ht="12.75">
      <c r="A83" s="149" t="s">
        <v>6</v>
      </c>
      <c r="B83" s="27">
        <f t="shared" si="12"/>
        <v>198892.20312000005</v>
      </c>
      <c r="C83" s="27">
        <f t="shared" si="13"/>
        <v>0</v>
      </c>
      <c r="D83" s="27">
        <f t="shared" si="14"/>
        <v>198892.20312000005</v>
      </c>
      <c r="E83" s="27">
        <f t="shared" si="10"/>
        <v>154317.7435401</v>
      </c>
      <c r="F83" s="27">
        <f t="shared" si="11"/>
        <v>44574.45957990005</v>
      </c>
      <c r="G83" s="137"/>
      <c r="H83" s="41" t="s">
        <v>6</v>
      </c>
      <c r="I83" s="9">
        <v>26</v>
      </c>
      <c r="J83" s="9">
        <v>0</v>
      </c>
      <c r="K83" s="9">
        <v>21</v>
      </c>
    </row>
    <row r="84" spans="1:11" ht="12.75">
      <c r="A84" s="149" t="s">
        <v>7</v>
      </c>
      <c r="B84" s="27">
        <f t="shared" si="12"/>
        <v>579370.7304000001</v>
      </c>
      <c r="C84" s="27">
        <f t="shared" si="13"/>
        <v>1427.1888960000003</v>
      </c>
      <c r="D84" s="27">
        <f t="shared" si="14"/>
        <v>580797.9192960002</v>
      </c>
      <c r="E84" s="27">
        <f t="shared" si="10"/>
        <v>238580.742456</v>
      </c>
      <c r="F84" s="27">
        <f t="shared" si="11"/>
        <v>342217.17684000015</v>
      </c>
      <c r="G84" s="137"/>
      <c r="H84" s="41" t="s">
        <v>7</v>
      </c>
      <c r="I84" s="9">
        <v>42</v>
      </c>
      <c r="J84" s="9">
        <v>21</v>
      </c>
      <c r="K84" s="9">
        <v>16</v>
      </c>
    </row>
    <row r="85" spans="1:11" ht="12.75">
      <c r="A85" s="149" t="s">
        <v>8</v>
      </c>
      <c r="B85" s="27">
        <f t="shared" si="12"/>
        <v>48155.48928</v>
      </c>
      <c r="C85" s="27">
        <f t="shared" si="13"/>
        <v>3019.7504736000005</v>
      </c>
      <c r="D85" s="27">
        <f t="shared" si="14"/>
        <v>51175.2397536</v>
      </c>
      <c r="E85" s="27">
        <f t="shared" si="10"/>
        <v>2085.6915983400004</v>
      </c>
      <c r="F85" s="27">
        <f t="shared" si="11"/>
        <v>49089.548155259996</v>
      </c>
      <c r="G85" s="137"/>
      <c r="H85" s="41" t="s">
        <v>8</v>
      </c>
      <c r="I85" s="9">
        <v>12</v>
      </c>
      <c r="J85" s="9">
        <v>14</v>
      </c>
      <c r="K85" s="9">
        <v>14</v>
      </c>
    </row>
    <row r="86" spans="1:11" ht="12.75">
      <c r="A86" s="149" t="s">
        <v>9</v>
      </c>
      <c r="B86" s="27">
        <f t="shared" si="12"/>
        <v>73624.82400000001</v>
      </c>
      <c r="C86" s="27">
        <f t="shared" si="13"/>
        <v>51623.13758400001</v>
      </c>
      <c r="D86" s="27">
        <f t="shared" si="14"/>
        <v>125247.96158400002</v>
      </c>
      <c r="E86" s="27">
        <f t="shared" si="10"/>
        <v>1297.5500726999999</v>
      </c>
      <c r="F86" s="27">
        <f t="shared" si="11"/>
        <v>123950.41151130002</v>
      </c>
      <c r="G86" s="137"/>
      <c r="H86" s="41" t="s">
        <v>9</v>
      </c>
      <c r="I86" s="9">
        <v>14</v>
      </c>
      <c r="J86" s="9">
        <v>61</v>
      </c>
      <c r="K86" s="9">
        <v>9</v>
      </c>
    </row>
    <row r="87" spans="1:11" ht="12.75">
      <c r="A87" s="149" t="s">
        <v>10</v>
      </c>
      <c r="B87" s="27">
        <f t="shared" si="12"/>
        <v>7440.691920000001</v>
      </c>
      <c r="C87" s="27">
        <f t="shared" si="13"/>
        <v>46294.4802672</v>
      </c>
      <c r="D87" s="27">
        <f t="shared" si="14"/>
        <v>53735.172187200005</v>
      </c>
      <c r="E87" s="27">
        <f t="shared" si="10"/>
        <v>3975.53575125</v>
      </c>
      <c r="F87" s="27">
        <f t="shared" si="11"/>
        <v>49759.63643595001</v>
      </c>
      <c r="G87" s="137"/>
      <c r="H87" s="41" t="s">
        <v>10</v>
      </c>
      <c r="I87" s="9">
        <v>5</v>
      </c>
      <c r="J87" s="9">
        <v>33</v>
      </c>
      <c r="K87" s="9">
        <v>5</v>
      </c>
    </row>
    <row r="88" spans="1:7" ht="12.75">
      <c r="A88" s="146" t="s">
        <v>125</v>
      </c>
      <c r="B88" s="152">
        <f>SUM(B76:B87)</f>
        <v>1521617.991696</v>
      </c>
      <c r="C88" s="152">
        <f>SUM(C76:C87)</f>
        <v>2602018.7023152006</v>
      </c>
      <c r="D88" s="152">
        <f>SUM(D76:D87)</f>
        <v>4123636.694011201</v>
      </c>
      <c r="E88" s="152">
        <f>SUM(E76:E87)</f>
        <v>1118422.0702292402</v>
      </c>
      <c r="F88" s="152">
        <f>SUM(F76:F87)</f>
        <v>3005214.623781961</v>
      </c>
      <c r="G88" s="15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  <row r="96" spans="3:7" ht="12.75">
      <c r="C96" s="3"/>
      <c r="E96" s="3"/>
      <c r="G96" s="3"/>
    </row>
    <row r="97" spans="2:7" ht="12.75">
      <c r="B97" s="3"/>
      <c r="C97" s="3"/>
      <c r="D97" s="3"/>
      <c r="E97" s="3"/>
      <c r="F97" s="3"/>
      <c r="G97" s="3"/>
    </row>
    <row r="98" spans="3:7" ht="12.75">
      <c r="C98" s="3"/>
      <c r="E98" s="3"/>
      <c r="F98" s="12"/>
      <c r="G98" s="3"/>
    </row>
    <row r="99" spans="2:3" ht="12.75">
      <c r="B99" s="13"/>
      <c r="C99" s="13"/>
    </row>
    <row r="100" spans="1:10" ht="12.75">
      <c r="A100" s="7"/>
      <c r="B100" s="7"/>
      <c r="C100" s="7"/>
      <c r="D100" s="7"/>
      <c r="E100" s="7"/>
      <c r="F100" s="8"/>
      <c r="G100" s="8"/>
      <c r="J100"/>
    </row>
    <row r="101" ht="12.75">
      <c r="J101"/>
    </row>
    <row r="102" ht="12.75">
      <c r="J102"/>
    </row>
    <row r="103" spans="2:10" ht="12.75">
      <c r="B103" s="24"/>
      <c r="C103" s="24"/>
      <c r="D103" s="24"/>
      <c r="J103"/>
    </row>
    <row r="104" spans="2:10" ht="12.75">
      <c r="B104" s="24"/>
      <c r="C104" s="24"/>
      <c r="D104" s="24"/>
      <c r="E104" s="2"/>
      <c r="F104" s="2"/>
      <c r="G104" s="2"/>
      <c r="J104"/>
    </row>
    <row r="105" spans="2:10" ht="12.75">
      <c r="B105" s="24"/>
      <c r="C105" s="24"/>
      <c r="D105" s="24"/>
      <c r="E105" s="2"/>
      <c r="F105" s="2"/>
      <c r="G105" s="2"/>
      <c r="J105"/>
    </row>
    <row r="106" spans="2:10" ht="12.75">
      <c r="B106" s="24"/>
      <c r="C106" s="24"/>
      <c r="D106" s="24"/>
      <c r="E106" s="3"/>
      <c r="F106" s="3"/>
      <c r="G106" s="3"/>
      <c r="J106"/>
    </row>
    <row r="107" spans="2:10" ht="12.75">
      <c r="B107" s="24"/>
      <c r="C107" s="24"/>
      <c r="D107" s="24"/>
      <c r="E107" s="3"/>
      <c r="F107" s="3"/>
      <c r="G107" s="3"/>
      <c r="J107"/>
    </row>
    <row r="108" spans="2:10" ht="12.75">
      <c r="B108" s="24"/>
      <c r="C108" s="24"/>
      <c r="D108" s="24"/>
      <c r="E108" s="3"/>
      <c r="F108" s="3"/>
      <c r="G108" s="3"/>
      <c r="J108"/>
    </row>
    <row r="109" spans="2:10" ht="12.75">
      <c r="B109" s="24"/>
      <c r="C109" s="24"/>
      <c r="D109" s="24"/>
      <c r="E109" s="3"/>
      <c r="F109" s="3"/>
      <c r="G109" s="3"/>
      <c r="J109"/>
    </row>
    <row r="110" spans="2:10" ht="12.75">
      <c r="B110" s="24"/>
      <c r="C110" s="24"/>
      <c r="D110" s="24"/>
      <c r="E110" s="3"/>
      <c r="F110" s="3"/>
      <c r="G110" s="3"/>
      <c r="J110"/>
    </row>
    <row r="111" spans="2:10" ht="12.75">
      <c r="B111" s="24"/>
      <c r="C111" s="24"/>
      <c r="D111" s="24"/>
      <c r="E111" s="210" t="s">
        <v>135</v>
      </c>
      <c r="F111" s="210"/>
      <c r="G111" s="210"/>
      <c r="H111" s="210"/>
      <c r="I111" s="210"/>
      <c r="J111" s="210"/>
    </row>
    <row r="112" spans="2:10" ht="12.75">
      <c r="B112" s="24"/>
      <c r="C112" s="24"/>
      <c r="D112" s="24"/>
      <c r="E112" s="3"/>
      <c r="F112" s="3"/>
      <c r="G112" s="3"/>
      <c r="J112"/>
    </row>
    <row r="113" spans="2:10" ht="12.75" customHeight="1">
      <c r="B113" s="24"/>
      <c r="C113" s="24"/>
      <c r="D113" s="24"/>
      <c r="E113" s="197">
        <v>2002</v>
      </c>
      <c r="F113" s="203" t="s">
        <v>81</v>
      </c>
      <c r="G113" s="203" t="s">
        <v>82</v>
      </c>
      <c r="H113" s="203" t="s">
        <v>83</v>
      </c>
      <c r="I113" s="195" t="s">
        <v>85</v>
      </c>
      <c r="J113" s="205" t="s">
        <v>86</v>
      </c>
    </row>
    <row r="114" spans="2:10" ht="12.75" customHeight="1">
      <c r="B114" s="24"/>
      <c r="C114" s="24"/>
      <c r="D114" s="24"/>
      <c r="E114" s="198"/>
      <c r="F114" s="204"/>
      <c r="G114" s="204"/>
      <c r="H114" s="204"/>
      <c r="I114" s="196"/>
      <c r="J114" s="206"/>
    </row>
    <row r="115" spans="2:10" ht="12.75">
      <c r="B115" s="8"/>
      <c r="C115" s="8"/>
      <c r="D115" s="8"/>
      <c r="E115" s="199"/>
      <c r="F115" s="200" t="s">
        <v>80</v>
      </c>
      <c r="G115" s="201"/>
      <c r="H115" s="201"/>
      <c r="I115" s="201"/>
      <c r="J115" s="202"/>
    </row>
    <row r="116" spans="2:10" ht="12.75">
      <c r="B116" s="24"/>
      <c r="C116" s="24"/>
      <c r="D116" s="24"/>
      <c r="E116" s="149" t="s">
        <v>78</v>
      </c>
      <c r="F116" s="26">
        <v>1093.8228</v>
      </c>
      <c r="G116" s="26">
        <v>280.3962</v>
      </c>
      <c r="H116" s="26">
        <f>SUM(F116:G116)</f>
        <v>1374.219</v>
      </c>
      <c r="I116" s="27">
        <v>1221.5280000000002</v>
      </c>
      <c r="J116" s="28">
        <f>H116-I116</f>
        <v>152.6909999999998</v>
      </c>
    </row>
    <row r="117" spans="2:10" ht="12.75">
      <c r="B117" s="24"/>
      <c r="C117" s="24"/>
      <c r="D117" s="24"/>
      <c r="E117" s="149" t="s">
        <v>0</v>
      </c>
      <c r="F117" s="26">
        <v>1177.1088</v>
      </c>
      <c r="G117" s="26">
        <v>345.91452000000004</v>
      </c>
      <c r="H117" s="26">
        <f aca="true" t="shared" si="15" ref="H117:H127">SUM(F117:G117)</f>
        <v>1523.02332</v>
      </c>
      <c r="I117" s="27">
        <v>1443.624</v>
      </c>
      <c r="J117" s="28">
        <f aca="true" t="shared" si="16" ref="J117:J127">H117-I117</f>
        <v>79.39931999999999</v>
      </c>
    </row>
    <row r="118" spans="2:10" ht="12.75">
      <c r="B118" s="24"/>
      <c r="C118" s="24"/>
      <c r="D118" s="24"/>
      <c r="E118" s="149" t="s">
        <v>1</v>
      </c>
      <c r="F118" s="26">
        <v>1449.1764</v>
      </c>
      <c r="G118" s="26">
        <v>1210.4232000000002</v>
      </c>
      <c r="H118" s="26">
        <f t="shared" si="15"/>
        <v>2659.5996000000005</v>
      </c>
      <c r="I118" s="27">
        <v>13155.222000000002</v>
      </c>
      <c r="J118" s="28">
        <f t="shared" si="16"/>
        <v>-10495.6224</v>
      </c>
    </row>
    <row r="119" spans="2:10" ht="12.75">
      <c r="B119" s="24"/>
      <c r="C119" s="24"/>
      <c r="D119" s="24"/>
      <c r="E119" s="149" t="s">
        <v>2</v>
      </c>
      <c r="F119" s="26">
        <v>3375.8592</v>
      </c>
      <c r="G119" s="26">
        <v>8273.076000000001</v>
      </c>
      <c r="H119" s="26">
        <f t="shared" si="15"/>
        <v>11648.9352</v>
      </c>
      <c r="I119" s="27">
        <v>11719.53</v>
      </c>
      <c r="J119" s="28">
        <f t="shared" si="16"/>
        <v>-70.59480000000076</v>
      </c>
    </row>
    <row r="120" spans="2:10" ht="12.75">
      <c r="B120" s="24"/>
      <c r="C120" s="24"/>
      <c r="D120" s="24"/>
      <c r="E120" s="149" t="s">
        <v>3</v>
      </c>
      <c r="F120" s="26">
        <v>3737.5584</v>
      </c>
      <c r="G120" s="26">
        <v>4469.682000000001</v>
      </c>
      <c r="H120" s="26">
        <f t="shared" si="15"/>
        <v>8207.2404</v>
      </c>
      <c r="I120" s="27">
        <v>891.3585</v>
      </c>
      <c r="J120" s="28">
        <f t="shared" si="16"/>
        <v>7315.8819</v>
      </c>
    </row>
    <row r="121" spans="2:10" ht="12.75">
      <c r="B121" s="24"/>
      <c r="C121" s="24"/>
      <c r="D121" s="24"/>
      <c r="E121" s="149" t="s">
        <v>4</v>
      </c>
      <c r="F121" s="26">
        <v>4378.464</v>
      </c>
      <c r="G121" s="26">
        <v>882.8316000000001</v>
      </c>
      <c r="H121" s="26">
        <f t="shared" si="15"/>
        <v>5261.2956</v>
      </c>
      <c r="I121" s="27">
        <v>15348.42</v>
      </c>
      <c r="J121" s="28">
        <f t="shared" si="16"/>
        <v>-10087.1244</v>
      </c>
    </row>
    <row r="122" spans="2:10" ht="12.75">
      <c r="B122" s="24"/>
      <c r="C122" s="24"/>
      <c r="D122" s="24"/>
      <c r="E122" s="149" t="s">
        <v>5</v>
      </c>
      <c r="F122" s="26">
        <v>3826.6942500000005</v>
      </c>
      <c r="G122" s="26">
        <v>430.31100000000004</v>
      </c>
      <c r="H122" s="26">
        <f t="shared" si="15"/>
        <v>4257.00525</v>
      </c>
      <c r="I122" s="27">
        <v>9058.046550000001</v>
      </c>
      <c r="J122" s="28">
        <f t="shared" si="16"/>
        <v>-4801.041300000001</v>
      </c>
    </row>
    <row r="123" spans="2:10" ht="12.75">
      <c r="B123" s="24"/>
      <c r="C123" s="24"/>
      <c r="D123" s="24"/>
      <c r="E123" s="149" t="s">
        <v>6</v>
      </c>
      <c r="F123" s="26">
        <v>2812.3897500000003</v>
      </c>
      <c r="G123" s="26">
        <v>42.41636999999999</v>
      </c>
      <c r="H123" s="26">
        <f t="shared" si="15"/>
        <v>2854.80612</v>
      </c>
      <c r="I123" s="27">
        <v>2698.6647000000003</v>
      </c>
      <c r="J123" s="28">
        <f t="shared" si="16"/>
        <v>156.14141999999993</v>
      </c>
    </row>
    <row r="124" spans="2:10" ht="12.75">
      <c r="B124" s="24"/>
      <c r="C124" s="24"/>
      <c r="D124" s="24"/>
      <c r="E124" s="149" t="s">
        <v>7</v>
      </c>
      <c r="F124" s="26">
        <v>5071.5225</v>
      </c>
      <c r="G124" s="26">
        <v>24.9858</v>
      </c>
      <c r="H124" s="26">
        <f t="shared" si="15"/>
        <v>5096.5083</v>
      </c>
      <c r="I124" s="27">
        <v>5476.0545</v>
      </c>
      <c r="J124" s="28">
        <f t="shared" si="16"/>
        <v>-379.54619999999977</v>
      </c>
    </row>
    <row r="125" spans="2:10" ht="12.75">
      <c r="B125" s="24"/>
      <c r="C125" s="24"/>
      <c r="D125" s="24"/>
      <c r="E125" s="149" t="s">
        <v>8</v>
      </c>
      <c r="F125" s="26">
        <v>1475.3519999999999</v>
      </c>
      <c r="G125" s="26">
        <v>79.30017000000001</v>
      </c>
      <c r="H125" s="26">
        <f t="shared" si="15"/>
        <v>1554.6521699999998</v>
      </c>
      <c r="I125" s="27">
        <v>54.71097</v>
      </c>
      <c r="J125" s="28">
        <f t="shared" si="16"/>
        <v>1499.9411999999998</v>
      </c>
    </row>
    <row r="126" spans="2:10" ht="12.75">
      <c r="B126" s="24"/>
      <c r="C126" s="24"/>
      <c r="D126" s="24"/>
      <c r="E126" s="149" t="s">
        <v>9</v>
      </c>
      <c r="F126" s="26">
        <v>1933.425</v>
      </c>
      <c r="G126" s="26">
        <v>311.1327</v>
      </c>
      <c r="H126" s="26">
        <f t="shared" si="15"/>
        <v>2244.5577</v>
      </c>
      <c r="I126" s="27">
        <v>52.9461</v>
      </c>
      <c r="J126" s="28">
        <f t="shared" si="16"/>
        <v>2191.6115999999997</v>
      </c>
    </row>
    <row r="127" spans="2:10" ht="12.75">
      <c r="B127" s="24"/>
      <c r="C127" s="24"/>
      <c r="D127" s="24"/>
      <c r="E127" s="149" t="s">
        <v>10</v>
      </c>
      <c r="F127" s="26">
        <v>547.1097000000001</v>
      </c>
      <c r="G127" s="26">
        <v>515.75847</v>
      </c>
      <c r="H127" s="26">
        <f t="shared" si="15"/>
        <v>1062.8681700000002</v>
      </c>
      <c r="I127" s="27">
        <v>291.99675</v>
      </c>
      <c r="J127" s="28">
        <f t="shared" si="16"/>
        <v>770.8714200000002</v>
      </c>
    </row>
    <row r="128" spans="2:10" ht="12.75">
      <c r="B128" s="25"/>
      <c r="C128" s="25"/>
      <c r="D128" s="25"/>
      <c r="E128" s="146" t="s">
        <v>84</v>
      </c>
      <c r="F128" s="112">
        <f>SUM(F116:F127)</f>
        <v>30878.4828</v>
      </c>
      <c r="G128" s="112">
        <f>SUM(G116:G127)</f>
        <v>16866.228030000002</v>
      </c>
      <c r="H128" s="154">
        <f>SUM(H116:H127)</f>
        <v>47744.71083</v>
      </c>
      <c r="I128" s="112">
        <f>SUM(I116:I127)</f>
        <v>61412.10207</v>
      </c>
      <c r="J128" s="113">
        <f>SUM(J116:J127)</f>
        <v>-13667.39124</v>
      </c>
    </row>
    <row r="129" spans="2:10" ht="12.75">
      <c r="B129" s="3"/>
      <c r="C129" s="3"/>
      <c r="D129" s="3"/>
      <c r="E129" s="147" t="s">
        <v>87</v>
      </c>
      <c r="F129" s="148">
        <f>F128/H128</f>
        <v>0.6467414350868318</v>
      </c>
      <c r="G129" s="148">
        <f>G128/H128</f>
        <v>0.3532585649131682</v>
      </c>
      <c r="H129" s="3"/>
      <c r="I129" s="3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</sheetData>
  <mergeCells count="10">
    <mergeCell ref="A37:G37"/>
    <mergeCell ref="A1:G1"/>
    <mergeCell ref="E111:J111"/>
    <mergeCell ref="E113:E115"/>
    <mergeCell ref="F113:F114"/>
    <mergeCell ref="G113:G114"/>
    <mergeCell ref="H113:H114"/>
    <mergeCell ref="I113:I114"/>
    <mergeCell ref="J113:J114"/>
    <mergeCell ref="F115:J115"/>
  </mergeCells>
  <printOptions headings="1"/>
  <pageMargins left="0.75" right="0.75" top="1" bottom="1" header="0.5" footer="0.5"/>
  <pageSetup horizontalDpi="600" verticalDpi="600" orientation="landscape" r:id="rId2"/>
  <rowBreaks count="1" manualBreakCount="1">
    <brk id="9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34">
      <selection activeCell="H77" sqref="H77"/>
    </sheetView>
  </sheetViews>
  <sheetFormatPr defaultColWidth="9.140625" defaultRowHeight="12.75"/>
  <cols>
    <col min="1" max="1" width="16.421875" style="0" customWidth="1"/>
    <col min="2" max="2" width="18.421875" style="0" bestFit="1" customWidth="1"/>
    <col min="3" max="3" width="23.00390625" style="0" bestFit="1" customWidth="1"/>
    <col min="4" max="4" width="13.57421875" style="0" customWidth="1"/>
    <col min="5" max="5" width="11.7109375" style="0" bestFit="1" customWidth="1"/>
  </cols>
  <sheetData>
    <row r="1" spans="1:3" ht="12.75">
      <c r="A1" t="s">
        <v>13</v>
      </c>
      <c r="B1" s="1" t="s">
        <v>19</v>
      </c>
      <c r="C1">
        <v>21</v>
      </c>
    </row>
    <row r="2" spans="1:11" ht="12.75">
      <c r="A2" t="s">
        <v>17</v>
      </c>
      <c r="B2" s="1" t="s">
        <v>19</v>
      </c>
      <c r="C2">
        <v>8</v>
      </c>
      <c r="K2" s="4"/>
    </row>
    <row r="3" spans="1:13" ht="12.75">
      <c r="A3" t="s">
        <v>18</v>
      </c>
      <c r="B3" s="1" t="s">
        <v>20</v>
      </c>
      <c r="C3">
        <v>2.4</v>
      </c>
      <c r="K3" s="211"/>
      <c r="L3" s="211"/>
      <c r="M3" s="211"/>
    </row>
    <row r="5" ht="12.75">
      <c r="A5" t="s">
        <v>22</v>
      </c>
    </row>
    <row r="6" spans="1:2" ht="12.75">
      <c r="A6" t="s">
        <v>23</v>
      </c>
      <c r="B6">
        <f>+LN(C3)</f>
        <v>0.8754687373538999</v>
      </c>
    </row>
    <row r="7" spans="2:3" ht="12.75">
      <c r="B7">
        <f>20+(14.42*B6)</f>
        <v>32.62425919264324</v>
      </c>
      <c r="C7" t="s">
        <v>26</v>
      </c>
    </row>
    <row r="8" spans="1:2" ht="12.75">
      <c r="A8" t="s">
        <v>24</v>
      </c>
      <c r="B8">
        <f>+LN(C2)</f>
        <v>2.0794415416798357</v>
      </c>
    </row>
    <row r="9" spans="2:3" ht="12.75">
      <c r="B9">
        <f>+(9.81*B8)+30.6</f>
        <v>50.99932152387919</v>
      </c>
      <c r="C9" t="s">
        <v>26</v>
      </c>
    </row>
    <row r="10" spans="1:2" ht="12.75">
      <c r="A10" t="s">
        <v>25</v>
      </c>
      <c r="B10">
        <f>+LN(C1)</f>
        <v>3.044522437723423</v>
      </c>
    </row>
    <row r="11" spans="2:3" ht="12.75">
      <c r="B11">
        <f>+(14.42*B10)+4.15</f>
        <v>48.05201355197176</v>
      </c>
      <c r="C11" t="s">
        <v>26</v>
      </c>
    </row>
    <row r="13" ht="12.75">
      <c r="A13" t="s">
        <v>27</v>
      </c>
    </row>
    <row r="14" spans="1:2" ht="12.75">
      <c r="A14" t="s">
        <v>28</v>
      </c>
      <c r="B14">
        <f>+LN(C2)</f>
        <v>2.0794415416798357</v>
      </c>
    </row>
    <row r="15" spans="2:3" ht="12.75">
      <c r="B15">
        <f>20+(14.42*B14)</f>
        <v>49.98554703102323</v>
      </c>
      <c r="C15" t="s">
        <v>26</v>
      </c>
    </row>
    <row r="16" spans="1:2" ht="12.75">
      <c r="A16" t="s">
        <v>29</v>
      </c>
      <c r="B16">
        <f>+LN(C1)</f>
        <v>3.044522437723423</v>
      </c>
    </row>
    <row r="17" spans="2:3" ht="12.75">
      <c r="B17">
        <f>20.02*B16</f>
        <v>60.95133920322293</v>
      </c>
      <c r="C17" t="s">
        <v>31</v>
      </c>
    </row>
    <row r="18" spans="1:2" ht="12.75">
      <c r="A18" t="s">
        <v>30</v>
      </c>
      <c r="B18">
        <f>+LN(1/C3-0.08)</f>
        <v>-1.0886619578149417</v>
      </c>
    </row>
    <row r="19" spans="2:3" ht="12.75">
      <c r="B19">
        <f>75.34+(19.46*B18)</f>
        <v>54.154638300921235</v>
      </c>
      <c r="C19" t="s">
        <v>31</v>
      </c>
    </row>
    <row r="22" spans="1:7" ht="12.75">
      <c r="A22" t="s">
        <v>120</v>
      </c>
      <c r="B22" t="s">
        <v>92</v>
      </c>
      <c r="C22" s="212" t="s">
        <v>97</v>
      </c>
      <c r="D22" s="212"/>
      <c r="E22" s="212"/>
      <c r="F22" s="212"/>
      <c r="G22" t="s">
        <v>98</v>
      </c>
    </row>
    <row r="23" spans="2:7" ht="12.75">
      <c r="B23" t="s">
        <v>93</v>
      </c>
      <c r="C23" t="s">
        <v>94</v>
      </c>
      <c r="D23" t="s">
        <v>95</v>
      </c>
      <c r="E23" t="s">
        <v>96</v>
      </c>
      <c r="G23" s="39">
        <v>18880</v>
      </c>
    </row>
    <row r="24" spans="2:7" ht="12.75">
      <c r="B24">
        <v>25000</v>
      </c>
      <c r="C24">
        <v>5650</v>
      </c>
      <c r="D24" s="39">
        <f aca="true" t="shared" si="0" ref="D24:D32">C24+G$23</f>
        <v>24530</v>
      </c>
      <c r="E24">
        <v>1815</v>
      </c>
      <c r="G24" s="39"/>
    </row>
    <row r="25" spans="2:7" ht="12.75">
      <c r="B25">
        <v>50000</v>
      </c>
      <c r="C25" s="39">
        <v>11300</v>
      </c>
      <c r="D25" s="39">
        <f t="shared" si="0"/>
        <v>30180</v>
      </c>
      <c r="E25">
        <f aca="true" t="shared" si="1" ref="E25:E32">C25-G$29</f>
        <v>3630</v>
      </c>
      <c r="G25" s="39"/>
    </row>
    <row r="26" spans="2:7" ht="12.75">
      <c r="B26">
        <v>100000</v>
      </c>
      <c r="C26">
        <v>22600</v>
      </c>
      <c r="D26" s="39">
        <f t="shared" si="0"/>
        <v>41480</v>
      </c>
      <c r="E26">
        <f t="shared" si="1"/>
        <v>14930</v>
      </c>
      <c r="G26" s="39"/>
    </row>
    <row r="27" spans="2:5" ht="12.75">
      <c r="B27">
        <v>200000</v>
      </c>
      <c r="C27">
        <v>45210</v>
      </c>
      <c r="D27" s="39">
        <f t="shared" si="0"/>
        <v>64090</v>
      </c>
      <c r="E27">
        <f t="shared" si="1"/>
        <v>37540</v>
      </c>
    </row>
    <row r="28" spans="2:7" ht="12.75">
      <c r="B28">
        <v>261000</v>
      </c>
      <c r="C28">
        <v>59000</v>
      </c>
      <c r="D28" s="39">
        <f t="shared" si="0"/>
        <v>77880</v>
      </c>
      <c r="E28">
        <f t="shared" si="1"/>
        <v>51330</v>
      </c>
      <c r="G28" t="s">
        <v>99</v>
      </c>
    </row>
    <row r="29" spans="2:7" ht="12.75">
      <c r="B29">
        <v>275000</v>
      </c>
      <c r="C29">
        <v>62160</v>
      </c>
      <c r="D29" s="39">
        <f t="shared" si="0"/>
        <v>81040</v>
      </c>
      <c r="E29">
        <f t="shared" si="1"/>
        <v>54490</v>
      </c>
      <c r="G29">
        <v>7670</v>
      </c>
    </row>
    <row r="30" spans="2:5" ht="12.75">
      <c r="B30">
        <v>300000</v>
      </c>
      <c r="C30">
        <v>67820</v>
      </c>
      <c r="D30" s="39">
        <f t="shared" si="0"/>
        <v>86700</v>
      </c>
      <c r="E30">
        <f t="shared" si="1"/>
        <v>60150</v>
      </c>
    </row>
    <row r="31" spans="2:5" ht="12.75">
      <c r="B31">
        <v>350000</v>
      </c>
      <c r="C31">
        <v>79120</v>
      </c>
      <c r="D31" s="39">
        <f t="shared" si="0"/>
        <v>98000</v>
      </c>
      <c r="E31">
        <f t="shared" si="1"/>
        <v>71450</v>
      </c>
    </row>
    <row r="32" spans="2:5" ht="12.75">
      <c r="B32">
        <v>400000</v>
      </c>
      <c r="C32">
        <v>90425</v>
      </c>
      <c r="D32" s="39">
        <f t="shared" si="0"/>
        <v>109305</v>
      </c>
      <c r="E32">
        <f t="shared" si="1"/>
        <v>82755</v>
      </c>
    </row>
    <row r="57" spans="1:3" ht="12.75">
      <c r="A57" s="9" t="s">
        <v>119</v>
      </c>
      <c r="B57" s="65" t="s">
        <v>115</v>
      </c>
      <c r="C57" s="65" t="s">
        <v>116</v>
      </c>
    </row>
    <row r="58" spans="1:3" ht="12.75">
      <c r="A58" s="9"/>
      <c r="B58" s="65" t="s">
        <v>117</v>
      </c>
      <c r="C58" s="65"/>
    </row>
    <row r="59" spans="1:3" ht="12.75">
      <c r="A59" s="9"/>
      <c r="B59" s="65" t="s">
        <v>118</v>
      </c>
      <c r="C59" s="65"/>
    </row>
    <row r="60" spans="1:3" ht="12.75">
      <c r="A60" s="139">
        <v>1986</v>
      </c>
      <c r="B60" s="110">
        <v>272000</v>
      </c>
      <c r="C60" s="110"/>
    </row>
    <row r="61" spans="1:3" ht="12.75">
      <c r="A61" s="139">
        <v>1987</v>
      </c>
      <c r="B61" s="110">
        <v>295890</v>
      </c>
      <c r="C61" s="110"/>
    </row>
    <row r="62" spans="1:3" ht="12.75">
      <c r="A62" s="139">
        <v>1988</v>
      </c>
      <c r="B62" s="110">
        <v>303850</v>
      </c>
      <c r="C62" s="110"/>
    </row>
    <row r="63" spans="1:3" ht="12.75">
      <c r="A63" s="139">
        <v>1989</v>
      </c>
      <c r="B63" s="110">
        <v>294160</v>
      </c>
      <c r="C63" s="110"/>
    </row>
    <row r="64" spans="1:3" ht="12.75">
      <c r="A64" s="139">
        <v>1990</v>
      </c>
      <c r="B64" s="110">
        <v>283350</v>
      </c>
      <c r="C64" s="110"/>
    </row>
    <row r="65" spans="1:3" ht="12.75">
      <c r="A65" s="139">
        <v>1991</v>
      </c>
      <c r="B65" s="110">
        <v>300170</v>
      </c>
      <c r="C65" s="110">
        <v>7638.4</v>
      </c>
    </row>
    <row r="66" spans="1:3" ht="12.75">
      <c r="A66" s="139">
        <v>1992</v>
      </c>
      <c r="B66" s="110">
        <v>288460</v>
      </c>
      <c r="C66" s="110">
        <v>8042.72</v>
      </c>
    </row>
    <row r="67" spans="1:3" ht="12.75">
      <c r="A67" s="139">
        <v>1993</v>
      </c>
      <c r="B67" s="110">
        <v>274470</v>
      </c>
      <c r="C67" s="110">
        <v>6181.12</v>
      </c>
    </row>
    <row r="68" spans="1:3" ht="12.75">
      <c r="A68" s="139">
        <v>1994</v>
      </c>
      <c r="B68" s="110">
        <v>289850</v>
      </c>
      <c r="C68" s="110">
        <v>13763.2</v>
      </c>
    </row>
    <row r="69" spans="1:3" ht="12.75">
      <c r="A69" s="139">
        <v>1995</v>
      </c>
      <c r="B69" s="110">
        <v>307530</v>
      </c>
      <c r="C69" s="110">
        <v>69252.97</v>
      </c>
    </row>
    <row r="70" spans="1:3" ht="12.75">
      <c r="A70" s="139">
        <v>1996</v>
      </c>
      <c r="B70" s="110">
        <v>270659</v>
      </c>
      <c r="C70" s="110">
        <v>21799.33</v>
      </c>
    </row>
    <row r="71" spans="1:3" ht="12.75">
      <c r="A71" s="139">
        <v>1997</v>
      </c>
      <c r="B71" s="110">
        <v>280000</v>
      </c>
      <c r="C71" s="110">
        <v>22150</v>
      </c>
    </row>
    <row r="72" spans="1:3" ht="12.75">
      <c r="A72" s="140">
        <v>1998</v>
      </c>
      <c r="B72" s="111">
        <v>199463</v>
      </c>
      <c r="C72" s="141">
        <v>52167</v>
      </c>
    </row>
    <row r="73" spans="1:3" ht="12.75">
      <c r="A73" s="140">
        <v>1999</v>
      </c>
      <c r="B73" s="111">
        <v>205361</v>
      </c>
      <c r="C73" s="141">
        <v>44218</v>
      </c>
    </row>
    <row r="74" spans="1:3" ht="12.75">
      <c r="A74" s="139">
        <v>2000</v>
      </c>
      <c r="B74" s="110">
        <v>98268</v>
      </c>
      <c r="C74" s="141">
        <v>9380</v>
      </c>
    </row>
    <row r="75" spans="1:3" ht="12.75">
      <c r="A75" s="139">
        <v>2001</v>
      </c>
      <c r="B75" s="110">
        <v>75422</v>
      </c>
      <c r="C75" s="141">
        <v>8719</v>
      </c>
    </row>
    <row r="76" spans="1:3" ht="12.75">
      <c r="A76" s="144">
        <v>2002</v>
      </c>
      <c r="B76" s="145">
        <v>28884.5763</v>
      </c>
      <c r="C76" s="145">
        <v>2088.507847008</v>
      </c>
    </row>
    <row r="77" spans="1:3" ht="12.75">
      <c r="A77" s="144">
        <v>2003</v>
      </c>
      <c r="B77" s="145">
        <v>48806.567670000004</v>
      </c>
      <c r="C77" s="155">
        <v>8379.18497749485</v>
      </c>
    </row>
    <row r="78" spans="2:3" ht="12.75">
      <c r="B78" s="39">
        <f>AVERAGE(B60:B75)</f>
        <v>252431.4375</v>
      </c>
      <c r="C78" s="39">
        <f>AVERAGE(C60:C75)</f>
        <v>23937.43090909091</v>
      </c>
    </row>
  </sheetData>
  <mergeCells count="2">
    <mergeCell ref="K3:M3"/>
    <mergeCell ref="C22:F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Russell N. Clayshulte</cp:lastModifiedBy>
  <cp:lastPrinted>2004-04-28T17:07:32Z</cp:lastPrinted>
  <dcterms:created xsi:type="dcterms:W3CDTF">1998-04-15T20:46:00Z</dcterms:created>
  <dcterms:modified xsi:type="dcterms:W3CDTF">2005-02-17T19:59:03Z</dcterms:modified>
  <cp:category/>
  <cp:version/>
  <cp:contentType/>
  <cp:contentStatus/>
</cp:coreProperties>
</file>